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BCD\002_Cargos_Tarifarios\2025\03 Marzo\Def\"/>
    </mc:Choice>
  </mc:AlternateContent>
  <xr:revisionPtr revIDLastSave="0" documentId="13_ncr:1_{D65CE5BB-8D9C-477C-9DC0-89893D7E4C94}" xr6:coauthVersionLast="47" xr6:coauthVersionMax="47" xr10:uidLastSave="{00000000-0000-0000-0000-000000000000}"/>
  <bookViews>
    <workbookView xWindow="-120" yWindow="-120" windowWidth="29040" windowHeight="15720" xr2:uid="{3EDFC517-B098-4DF2-AD24-3C5BF2FA0817}"/>
  </bookViews>
  <sheets>
    <sheet name="Entrada AR" sheetId="1" r:id="rId1"/>
    <sheet name="Entrada TD" sheetId="2" r:id="rId2"/>
    <sheet name="Entrada CDRGL" sheetId="3" r:id="rId3"/>
    <sheet name="Entrada 7TRAN" sheetId="4" r:id="rId4"/>
    <sheet name="Reliquidación TD" sheetId="5" r:id="rId5"/>
    <sheet name="Reliquidación AR" sheetId="6" r:id="rId6"/>
    <sheet name="CUADRO DE PAGO AR" sheetId="7" r:id="rId7"/>
    <sheet name="Reliquidación CD RGL" sheetId="8" r:id="rId8"/>
    <sheet name="CUADRO DE PAGO CD RGL" sheetId="9" r:id="rId9"/>
    <sheet name="Reliquidación 7TRAN" sheetId="10" r:id="rId10"/>
    <sheet name="CUADRO DE PAGO 7TRAN" sheetId="11" r:id="rId11"/>
  </sheets>
  <externalReferences>
    <externalReference r:id="rId12"/>
  </externalReferences>
  <definedNames>
    <definedName name="_xlnm._FilterDatabase" localSheetId="10" hidden="1">'CUADRO DE PAGO 7TRAN'!$E$6:$G$33</definedName>
    <definedName name="_xlnm._FilterDatabase" localSheetId="6" hidden="1">'CUADRO DE PAGO AR'!$E$6:$G$33</definedName>
    <definedName name="_xlnm._FilterDatabase" localSheetId="8" hidden="1">'CUADRO DE PAGO CD RGL'!$E$6:$G$33</definedName>
    <definedName name="_xlnm._FilterDatabase" localSheetId="3" hidden="1">'Entrada 7TRAN'!$F$7:$J$44</definedName>
    <definedName name="_xlnm._FilterDatabase" localSheetId="0" hidden="1">'Entrada AR'!$F$6:$J$44</definedName>
    <definedName name="_xlnm._FilterDatabase" localSheetId="2" hidden="1">'Entrada CDRGL'!$F$7:$J$44</definedName>
    <definedName name="_xlnm._FilterDatabase" localSheetId="9" hidden="1">'Reliquidación 7TRAN'!$O$8:$O$44</definedName>
    <definedName name="_xlnm._FilterDatabase" localSheetId="7" hidden="1">'Reliquidación CD RGL'!$O$8:$O$44</definedName>
    <definedName name="_xlnm._FilterDatabase" localSheetId="4" hidden="1">'Reliquidación TD'!$O$8:$O$43</definedName>
    <definedName name="DirectorioEntrada" localSheetId="3">'Entrada 7TRAN'!$G$3</definedName>
    <definedName name="DirectorioEntrada" localSheetId="0">'Entrada AR'!$G$3</definedName>
    <definedName name="DirectorioEntrada" localSheetId="2">'Entrada CDRGL'!$G$3</definedName>
    <definedName name="DirectorioEntrada" localSheetId="1">'Entrada TD'!$G$3</definedName>
    <definedName name="FechaFacturacion" localSheetId="3">'Entrada 7TRAN'!$B$3</definedName>
    <definedName name="FechaFacturacion" localSheetId="0">'Entrada AR'!$B$3</definedName>
    <definedName name="FechaFacturacion" localSheetId="2">'Entrada CDRGL'!$B$3</definedName>
    <definedName name="FechaFacturacion" localSheetId="1">'Entrada TD'!$B$3</definedName>
    <definedName name="FechaFacturacion">'Entrada AR'!$B$3</definedName>
    <definedName name="Responsable" localSheetId="3">'Entrada 7TRAN'!$G$4</definedName>
    <definedName name="Responsable" localSheetId="0">'Entrada AR'!$G$4</definedName>
    <definedName name="Responsable" localSheetId="2">'Entrada CDRGL'!$G$4</definedName>
    <definedName name="Responsable" localSheetId="1">'Entrada TD'!$G$4</definedName>
    <definedName name="version" localSheetId="3">'Entrada 7TRAN'!$G$2</definedName>
    <definedName name="version" localSheetId="0">'Entrada AR'!$G$2</definedName>
    <definedName name="version" localSheetId="2">'Entrada CDRGL'!$G$2</definedName>
    <definedName name="version" localSheetId="1">'Entrada TD'!$G$2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1" l="1"/>
  <c r="G32" i="11" s="1"/>
  <c r="C41" i="11"/>
  <c r="G31" i="11" s="1"/>
  <c r="C40" i="11"/>
  <c r="C39" i="11"/>
  <c r="C38" i="11"/>
  <c r="C37" i="11"/>
  <c r="C36" i="11"/>
  <c r="C35" i="11"/>
  <c r="C34" i="11"/>
  <c r="F33" i="11"/>
  <c r="C33" i="11"/>
  <c r="C32" i="11"/>
  <c r="G25" i="11" s="1"/>
  <c r="C31" i="11"/>
  <c r="G24" i="11" s="1"/>
  <c r="G30" i="11"/>
  <c r="C30" i="11"/>
  <c r="G23" i="11" s="1"/>
  <c r="G29" i="11"/>
  <c r="C29" i="11"/>
  <c r="G22" i="11" s="1"/>
  <c r="G28" i="11"/>
  <c r="C28" i="11"/>
  <c r="G27" i="11"/>
  <c r="C27" i="11"/>
  <c r="G20" i="11" s="1"/>
  <c r="G26" i="11"/>
  <c r="C26" i="11"/>
  <c r="C25" i="11"/>
  <c r="G18" i="11" s="1"/>
  <c r="C24" i="11"/>
  <c r="G17" i="11" s="1"/>
  <c r="C23" i="11"/>
  <c r="G16" i="11" s="1"/>
  <c r="C22" i="11"/>
  <c r="G15" i="11" s="1"/>
  <c r="G21" i="11"/>
  <c r="C21" i="11"/>
  <c r="C20" i="11"/>
  <c r="G19" i="11"/>
  <c r="C19" i="11"/>
  <c r="C18" i="11"/>
  <c r="C17" i="11"/>
  <c r="G13" i="11" s="1"/>
  <c r="C16" i="11"/>
  <c r="C15" i="11"/>
  <c r="G12" i="11" s="1"/>
  <c r="G14" i="11"/>
  <c r="C14" i="11"/>
  <c r="C13" i="11"/>
  <c r="C12" i="11"/>
  <c r="C11" i="11"/>
  <c r="G11" i="11" s="1"/>
  <c r="C10" i="11"/>
  <c r="G10" i="11" s="1"/>
  <c r="C9" i="11"/>
  <c r="G9" i="11" s="1"/>
  <c r="C8" i="11"/>
  <c r="C43" i="11" s="1"/>
  <c r="B3" i="11"/>
  <c r="J44" i="10"/>
  <c r="H44" i="10"/>
  <c r="K43" i="10"/>
  <c r="I43" i="10"/>
  <c r="G43" i="10"/>
  <c r="L43" i="10" s="1"/>
  <c r="F43" i="10"/>
  <c r="E43" i="10"/>
  <c r="D43" i="10"/>
  <c r="C43" i="10"/>
  <c r="I42" i="10"/>
  <c r="G42" i="10"/>
  <c r="F42" i="10"/>
  <c r="E42" i="10"/>
  <c r="D42" i="10"/>
  <c r="C42" i="10"/>
  <c r="G41" i="10"/>
  <c r="F41" i="10"/>
  <c r="E41" i="10"/>
  <c r="D41" i="10"/>
  <c r="C41" i="10"/>
  <c r="G40" i="10"/>
  <c r="F40" i="10"/>
  <c r="E40" i="10"/>
  <c r="D40" i="10"/>
  <c r="C40" i="10"/>
  <c r="G39" i="10"/>
  <c r="F39" i="10"/>
  <c r="E39" i="10"/>
  <c r="D39" i="10"/>
  <c r="C39" i="10"/>
  <c r="K38" i="10"/>
  <c r="G38" i="10"/>
  <c r="F38" i="10"/>
  <c r="E38" i="10"/>
  <c r="D38" i="10"/>
  <c r="C38" i="10"/>
  <c r="K37" i="10"/>
  <c r="I37" i="10"/>
  <c r="G37" i="10"/>
  <c r="L37" i="10" s="1"/>
  <c r="F37" i="10"/>
  <c r="E37" i="10"/>
  <c r="D37" i="10"/>
  <c r="C37" i="10"/>
  <c r="K36" i="10"/>
  <c r="I36" i="10"/>
  <c r="G36" i="10"/>
  <c r="L36" i="10" s="1"/>
  <c r="F36" i="10"/>
  <c r="E36" i="10"/>
  <c r="D36" i="10"/>
  <c r="C36" i="10"/>
  <c r="I35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K31" i="10"/>
  <c r="L31" i="10" s="1"/>
  <c r="I31" i="10"/>
  <c r="G31" i="10"/>
  <c r="F31" i="10"/>
  <c r="E31" i="10"/>
  <c r="D31" i="10"/>
  <c r="C31" i="10"/>
  <c r="K30" i="10"/>
  <c r="I30" i="10"/>
  <c r="G30" i="10"/>
  <c r="L30" i="10" s="1"/>
  <c r="F30" i="10"/>
  <c r="E30" i="10"/>
  <c r="D30" i="10"/>
  <c r="C30" i="10"/>
  <c r="K29" i="10"/>
  <c r="I29" i="10"/>
  <c r="G29" i="10"/>
  <c r="L29" i="10" s="1"/>
  <c r="F29" i="10"/>
  <c r="E29" i="10"/>
  <c r="D29" i="10"/>
  <c r="C29" i="10"/>
  <c r="I28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K24" i="10"/>
  <c r="L24" i="10" s="1"/>
  <c r="I24" i="10"/>
  <c r="G24" i="10"/>
  <c r="F24" i="10"/>
  <c r="E24" i="10"/>
  <c r="D24" i="10"/>
  <c r="C24" i="10"/>
  <c r="K23" i="10"/>
  <c r="I23" i="10"/>
  <c r="G23" i="10"/>
  <c r="L23" i="10" s="1"/>
  <c r="F23" i="10"/>
  <c r="E23" i="10"/>
  <c r="D23" i="10"/>
  <c r="C23" i="10"/>
  <c r="K22" i="10"/>
  <c r="I22" i="10"/>
  <c r="G22" i="10"/>
  <c r="L22" i="10" s="1"/>
  <c r="F22" i="10"/>
  <c r="E22" i="10"/>
  <c r="D22" i="10"/>
  <c r="C22" i="10"/>
  <c r="K21" i="10"/>
  <c r="I21" i="10"/>
  <c r="G21" i="10"/>
  <c r="L21" i="10" s="1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K17" i="10"/>
  <c r="L17" i="10" s="1"/>
  <c r="I17" i="10"/>
  <c r="G17" i="10"/>
  <c r="F17" i="10"/>
  <c r="E17" i="10"/>
  <c r="D17" i="10"/>
  <c r="C17" i="10"/>
  <c r="K16" i="10"/>
  <c r="I16" i="10"/>
  <c r="G16" i="10"/>
  <c r="L16" i="10" s="1"/>
  <c r="F16" i="10"/>
  <c r="E16" i="10"/>
  <c r="D16" i="10"/>
  <c r="C16" i="10"/>
  <c r="K15" i="10"/>
  <c r="I15" i="10"/>
  <c r="G15" i="10"/>
  <c r="L15" i="10" s="1"/>
  <c r="F15" i="10"/>
  <c r="E15" i="10"/>
  <c r="D15" i="10"/>
  <c r="C15" i="10"/>
  <c r="K14" i="10"/>
  <c r="I14" i="10"/>
  <c r="G14" i="10"/>
  <c r="L14" i="10" s="1"/>
  <c r="F14" i="10"/>
  <c r="E14" i="10"/>
  <c r="D14" i="10"/>
  <c r="C14" i="10"/>
  <c r="G13" i="10"/>
  <c r="F13" i="10"/>
  <c r="E13" i="10"/>
  <c r="D13" i="10"/>
  <c r="C13" i="10"/>
  <c r="G12" i="10"/>
  <c r="F12" i="10"/>
  <c r="E12" i="10"/>
  <c r="D12" i="10"/>
  <c r="C12" i="10"/>
  <c r="G11" i="10"/>
  <c r="F11" i="10"/>
  <c r="E11" i="10"/>
  <c r="D11" i="10"/>
  <c r="C11" i="10"/>
  <c r="K10" i="10"/>
  <c r="L10" i="10" s="1"/>
  <c r="I10" i="10"/>
  <c r="G10" i="10"/>
  <c r="F10" i="10"/>
  <c r="E10" i="10"/>
  <c r="D10" i="10"/>
  <c r="C10" i="10"/>
  <c r="K9" i="10"/>
  <c r="I9" i="10"/>
  <c r="G9" i="10"/>
  <c r="L9" i="10" s="1"/>
  <c r="F9" i="10"/>
  <c r="F44" i="10" s="1"/>
  <c r="E9" i="10"/>
  <c r="E44" i="10" s="1"/>
  <c r="D9" i="10"/>
  <c r="D44" i="10" s="1"/>
  <c r="C9" i="10"/>
  <c r="C44" i="10" s="1"/>
  <c r="I4" i="10"/>
  <c r="K39" i="10" s="1"/>
  <c r="B3" i="10"/>
  <c r="H6" i="10" s="1"/>
  <c r="C42" i="9"/>
  <c r="G32" i="9" s="1"/>
  <c r="C41" i="9"/>
  <c r="G31" i="9" s="1"/>
  <c r="C40" i="9"/>
  <c r="C39" i="9"/>
  <c r="C38" i="9"/>
  <c r="C37" i="9"/>
  <c r="C36" i="9"/>
  <c r="C35" i="9"/>
  <c r="C34" i="9"/>
  <c r="F33" i="9"/>
  <c r="C33" i="9"/>
  <c r="C32" i="9"/>
  <c r="C31" i="9"/>
  <c r="G24" i="9" s="1"/>
  <c r="G30" i="9"/>
  <c r="C30" i="9"/>
  <c r="G23" i="9" s="1"/>
  <c r="G29" i="9"/>
  <c r="C29" i="9"/>
  <c r="G22" i="9" s="1"/>
  <c r="G28" i="9"/>
  <c r="C28" i="9"/>
  <c r="G27" i="9"/>
  <c r="C27" i="9"/>
  <c r="G26" i="9"/>
  <c r="C26" i="9"/>
  <c r="G25" i="9"/>
  <c r="C25" i="9"/>
  <c r="C24" i="9"/>
  <c r="G17" i="9" s="1"/>
  <c r="C23" i="9"/>
  <c r="G16" i="9" s="1"/>
  <c r="C22" i="9"/>
  <c r="G15" i="9" s="1"/>
  <c r="G21" i="9"/>
  <c r="C21" i="9"/>
  <c r="G14" i="9" s="1"/>
  <c r="G20" i="9"/>
  <c r="C20" i="9"/>
  <c r="G19" i="9"/>
  <c r="C19" i="9"/>
  <c r="G18" i="9"/>
  <c r="C18" i="9"/>
  <c r="C17" i="9"/>
  <c r="G13" i="9" s="1"/>
  <c r="C16" i="9"/>
  <c r="C15" i="9"/>
  <c r="C14" i="9"/>
  <c r="C13" i="9"/>
  <c r="C12" i="9"/>
  <c r="G11" i="9"/>
  <c r="C11" i="9"/>
  <c r="C10" i="9"/>
  <c r="G10" i="9" s="1"/>
  <c r="C9" i="9"/>
  <c r="G9" i="9" s="1"/>
  <c r="G8" i="9"/>
  <c r="C8" i="9"/>
  <c r="B3" i="9"/>
  <c r="J44" i="8"/>
  <c r="H44" i="8"/>
  <c r="G43" i="8"/>
  <c r="F43" i="8"/>
  <c r="E43" i="8"/>
  <c r="D43" i="8"/>
  <c r="C43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K38" i="8"/>
  <c r="I38" i="8"/>
  <c r="L38" i="8" s="1"/>
  <c r="G38" i="8"/>
  <c r="F38" i="8"/>
  <c r="E38" i="8"/>
  <c r="D38" i="8"/>
  <c r="C38" i="8"/>
  <c r="K37" i="8"/>
  <c r="I37" i="8"/>
  <c r="G37" i="8"/>
  <c r="L37" i="8" s="1"/>
  <c r="F37" i="8"/>
  <c r="E37" i="8"/>
  <c r="D37" i="8"/>
  <c r="C37" i="8"/>
  <c r="G36" i="8"/>
  <c r="F36" i="8"/>
  <c r="E36" i="8"/>
  <c r="D36" i="8"/>
  <c r="C36" i="8"/>
  <c r="G35" i="8"/>
  <c r="F35" i="8"/>
  <c r="E35" i="8"/>
  <c r="D35" i="8"/>
  <c r="C35" i="8"/>
  <c r="G34" i="8"/>
  <c r="F34" i="8"/>
  <c r="E34" i="8"/>
  <c r="D34" i="8"/>
  <c r="C34" i="8"/>
  <c r="G33" i="8"/>
  <c r="F33" i="8"/>
  <c r="E33" i="8"/>
  <c r="D33" i="8"/>
  <c r="C33" i="8"/>
  <c r="G32" i="8"/>
  <c r="F32" i="8"/>
  <c r="E32" i="8"/>
  <c r="D32" i="8"/>
  <c r="C32" i="8"/>
  <c r="K31" i="8"/>
  <c r="I31" i="8"/>
  <c r="L31" i="8" s="1"/>
  <c r="G31" i="8"/>
  <c r="F31" i="8"/>
  <c r="E31" i="8"/>
  <c r="D31" i="8"/>
  <c r="C31" i="8"/>
  <c r="K30" i="8"/>
  <c r="I30" i="8"/>
  <c r="G30" i="8"/>
  <c r="L30" i="8" s="1"/>
  <c r="F30" i="8"/>
  <c r="E30" i="8"/>
  <c r="D30" i="8"/>
  <c r="C30" i="8"/>
  <c r="I29" i="8"/>
  <c r="G29" i="8"/>
  <c r="F29" i="8"/>
  <c r="E29" i="8"/>
  <c r="D29" i="8"/>
  <c r="C29" i="8"/>
  <c r="G28" i="8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K24" i="8"/>
  <c r="I24" i="8"/>
  <c r="L24" i="8" s="1"/>
  <c r="G24" i="8"/>
  <c r="F24" i="8"/>
  <c r="E24" i="8"/>
  <c r="D24" i="8"/>
  <c r="C24" i="8"/>
  <c r="K23" i="8"/>
  <c r="I23" i="8"/>
  <c r="G23" i="8"/>
  <c r="L23" i="8" s="1"/>
  <c r="F23" i="8"/>
  <c r="E23" i="8"/>
  <c r="D23" i="8"/>
  <c r="C23" i="8"/>
  <c r="I22" i="8"/>
  <c r="G22" i="8"/>
  <c r="F22" i="8"/>
  <c r="E22" i="8"/>
  <c r="D22" i="8"/>
  <c r="C22" i="8"/>
  <c r="G21" i="8"/>
  <c r="F21" i="8"/>
  <c r="E21" i="8"/>
  <c r="D21" i="8"/>
  <c r="C21" i="8"/>
  <c r="G20" i="8"/>
  <c r="F20" i="8"/>
  <c r="E20" i="8"/>
  <c r="D20" i="8"/>
  <c r="C20" i="8"/>
  <c r="G19" i="8"/>
  <c r="F19" i="8"/>
  <c r="E19" i="8"/>
  <c r="D19" i="8"/>
  <c r="C19" i="8"/>
  <c r="G18" i="8"/>
  <c r="F18" i="8"/>
  <c r="E18" i="8"/>
  <c r="D18" i="8"/>
  <c r="C18" i="8"/>
  <c r="K17" i="8"/>
  <c r="I17" i="8"/>
  <c r="L17" i="8" s="1"/>
  <c r="G17" i="8"/>
  <c r="F17" i="8"/>
  <c r="E17" i="8"/>
  <c r="D17" i="8"/>
  <c r="C17" i="8"/>
  <c r="K16" i="8"/>
  <c r="I16" i="8"/>
  <c r="G16" i="8"/>
  <c r="L16" i="8" s="1"/>
  <c r="F16" i="8"/>
  <c r="E16" i="8"/>
  <c r="D16" i="8"/>
  <c r="C16" i="8"/>
  <c r="I15" i="8"/>
  <c r="G15" i="8"/>
  <c r="F15" i="8"/>
  <c r="E15" i="8"/>
  <c r="D15" i="8"/>
  <c r="C15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1" i="8"/>
  <c r="F11" i="8"/>
  <c r="E11" i="8"/>
  <c r="D11" i="8"/>
  <c r="C11" i="8"/>
  <c r="K10" i="8"/>
  <c r="I10" i="8"/>
  <c r="L10" i="8" s="1"/>
  <c r="G10" i="8"/>
  <c r="F10" i="8"/>
  <c r="E10" i="8"/>
  <c r="D10" i="8"/>
  <c r="C10" i="8"/>
  <c r="K9" i="8"/>
  <c r="I9" i="8"/>
  <c r="G9" i="8"/>
  <c r="L9" i="8" s="1"/>
  <c r="F9" i="8"/>
  <c r="F44" i="8" s="1"/>
  <c r="E9" i="8"/>
  <c r="E44" i="8" s="1"/>
  <c r="D9" i="8"/>
  <c r="D44" i="8" s="1"/>
  <c r="C9" i="8"/>
  <c r="C44" i="8" s="1"/>
  <c r="I4" i="8"/>
  <c r="K39" i="8" s="1"/>
  <c r="B3" i="8"/>
  <c r="H6" i="8" s="1"/>
  <c r="F33" i="7"/>
  <c r="B3" i="7"/>
  <c r="R44" i="6"/>
  <c r="J44" i="6"/>
  <c r="H44" i="6"/>
  <c r="K43" i="6"/>
  <c r="M43" i="6" s="1"/>
  <c r="G43" i="6"/>
  <c r="F43" i="6"/>
  <c r="E43" i="6"/>
  <c r="D43" i="6"/>
  <c r="C43" i="6"/>
  <c r="K42" i="6"/>
  <c r="G42" i="6"/>
  <c r="F42" i="6"/>
  <c r="E42" i="6"/>
  <c r="D42" i="6"/>
  <c r="C42" i="6"/>
  <c r="K41" i="6"/>
  <c r="G41" i="6"/>
  <c r="F41" i="6"/>
  <c r="E41" i="6"/>
  <c r="D41" i="6"/>
  <c r="C41" i="6"/>
  <c r="K40" i="6"/>
  <c r="G40" i="6"/>
  <c r="F40" i="6"/>
  <c r="E40" i="6"/>
  <c r="D40" i="6"/>
  <c r="C40" i="6"/>
  <c r="K39" i="6"/>
  <c r="G39" i="6"/>
  <c r="F39" i="6"/>
  <c r="E39" i="6"/>
  <c r="D39" i="6"/>
  <c r="C39" i="6"/>
  <c r="K38" i="6"/>
  <c r="G38" i="6"/>
  <c r="F38" i="6"/>
  <c r="E38" i="6"/>
  <c r="D38" i="6"/>
  <c r="C38" i="6"/>
  <c r="K37" i="6"/>
  <c r="G37" i="6"/>
  <c r="F37" i="6"/>
  <c r="E37" i="6"/>
  <c r="D37" i="6"/>
  <c r="C37" i="6"/>
  <c r="K36" i="6"/>
  <c r="G36" i="6"/>
  <c r="F36" i="6"/>
  <c r="E36" i="6"/>
  <c r="D36" i="6"/>
  <c r="C36" i="6"/>
  <c r="K35" i="6"/>
  <c r="G35" i="6"/>
  <c r="F35" i="6"/>
  <c r="E35" i="6"/>
  <c r="D35" i="6"/>
  <c r="C35" i="6"/>
  <c r="K34" i="6"/>
  <c r="G34" i="6"/>
  <c r="F34" i="6"/>
  <c r="E34" i="6"/>
  <c r="D34" i="6"/>
  <c r="C34" i="6"/>
  <c r="K33" i="6"/>
  <c r="G33" i="6"/>
  <c r="F33" i="6"/>
  <c r="E33" i="6"/>
  <c r="D33" i="6"/>
  <c r="C33" i="6"/>
  <c r="K32" i="6"/>
  <c r="G32" i="6"/>
  <c r="F32" i="6"/>
  <c r="E32" i="6"/>
  <c r="D32" i="6"/>
  <c r="C32" i="6"/>
  <c r="K31" i="6"/>
  <c r="G31" i="6"/>
  <c r="F31" i="6"/>
  <c r="E31" i="6"/>
  <c r="D31" i="6"/>
  <c r="C31" i="6"/>
  <c r="K30" i="6"/>
  <c r="G30" i="6"/>
  <c r="F30" i="6"/>
  <c r="E30" i="6"/>
  <c r="D30" i="6"/>
  <c r="C30" i="6"/>
  <c r="K29" i="6"/>
  <c r="G29" i="6"/>
  <c r="F29" i="6"/>
  <c r="E29" i="6"/>
  <c r="D29" i="6"/>
  <c r="C29" i="6"/>
  <c r="K28" i="6"/>
  <c r="G28" i="6"/>
  <c r="F28" i="6"/>
  <c r="E28" i="6"/>
  <c r="D28" i="6"/>
  <c r="C28" i="6"/>
  <c r="K27" i="6"/>
  <c r="G27" i="6"/>
  <c r="F27" i="6"/>
  <c r="E27" i="6"/>
  <c r="D27" i="6"/>
  <c r="C27" i="6"/>
  <c r="K26" i="6"/>
  <c r="G26" i="6"/>
  <c r="F26" i="6"/>
  <c r="E26" i="6"/>
  <c r="D26" i="6"/>
  <c r="C26" i="6"/>
  <c r="K25" i="6"/>
  <c r="G25" i="6"/>
  <c r="F25" i="6"/>
  <c r="E25" i="6"/>
  <c r="D25" i="6"/>
  <c r="C25" i="6"/>
  <c r="K24" i="6"/>
  <c r="G24" i="6"/>
  <c r="F24" i="6"/>
  <c r="E24" i="6"/>
  <c r="D24" i="6"/>
  <c r="C24" i="6"/>
  <c r="K23" i="6"/>
  <c r="G23" i="6"/>
  <c r="F23" i="6"/>
  <c r="E23" i="6"/>
  <c r="D23" i="6"/>
  <c r="C23" i="6"/>
  <c r="K22" i="6"/>
  <c r="G22" i="6"/>
  <c r="F22" i="6"/>
  <c r="E22" i="6"/>
  <c r="D22" i="6"/>
  <c r="C22" i="6"/>
  <c r="K21" i="6"/>
  <c r="G21" i="6"/>
  <c r="F21" i="6"/>
  <c r="E21" i="6"/>
  <c r="D21" i="6"/>
  <c r="C21" i="6"/>
  <c r="K20" i="6"/>
  <c r="G20" i="6"/>
  <c r="F20" i="6"/>
  <c r="E20" i="6"/>
  <c r="D20" i="6"/>
  <c r="C20" i="6"/>
  <c r="K19" i="6"/>
  <c r="G19" i="6"/>
  <c r="F19" i="6"/>
  <c r="E19" i="6"/>
  <c r="D19" i="6"/>
  <c r="C19" i="6"/>
  <c r="K18" i="6"/>
  <c r="G18" i="6"/>
  <c r="F18" i="6"/>
  <c r="E18" i="6"/>
  <c r="D18" i="6"/>
  <c r="C18" i="6"/>
  <c r="K17" i="6"/>
  <c r="G17" i="6"/>
  <c r="F17" i="6"/>
  <c r="E17" i="6"/>
  <c r="D17" i="6"/>
  <c r="C17" i="6"/>
  <c r="K16" i="6"/>
  <c r="G16" i="6"/>
  <c r="F16" i="6"/>
  <c r="E16" i="6"/>
  <c r="D16" i="6"/>
  <c r="C16" i="6"/>
  <c r="K15" i="6"/>
  <c r="G15" i="6"/>
  <c r="F15" i="6"/>
  <c r="E15" i="6"/>
  <c r="D15" i="6"/>
  <c r="C15" i="6"/>
  <c r="K14" i="6"/>
  <c r="G14" i="6"/>
  <c r="F14" i="6"/>
  <c r="E14" i="6"/>
  <c r="D14" i="6"/>
  <c r="C14" i="6"/>
  <c r="K13" i="6"/>
  <c r="G13" i="6"/>
  <c r="F13" i="6"/>
  <c r="E13" i="6"/>
  <c r="D13" i="6"/>
  <c r="C13" i="6"/>
  <c r="K12" i="6"/>
  <c r="G12" i="6"/>
  <c r="F12" i="6"/>
  <c r="E12" i="6"/>
  <c r="D12" i="6"/>
  <c r="C12" i="6"/>
  <c r="K11" i="6"/>
  <c r="G11" i="6"/>
  <c r="F11" i="6"/>
  <c r="E11" i="6"/>
  <c r="D11" i="6"/>
  <c r="C11" i="6"/>
  <c r="K10" i="6"/>
  <c r="G10" i="6"/>
  <c r="F10" i="6"/>
  <c r="E10" i="6"/>
  <c r="D10" i="6"/>
  <c r="C10" i="6"/>
  <c r="K9" i="6"/>
  <c r="K44" i="6" s="1"/>
  <c r="G9" i="6"/>
  <c r="F9" i="6"/>
  <c r="F44" i="6" s="1"/>
  <c r="E9" i="6"/>
  <c r="D9" i="6"/>
  <c r="D44" i="6" s="1"/>
  <c r="C9" i="6"/>
  <c r="L6" i="6"/>
  <c r="H6" i="6"/>
  <c r="I4" i="6"/>
  <c r="I43" i="6" s="1"/>
  <c r="B3" i="6"/>
  <c r="J44" i="5"/>
  <c r="H44" i="5"/>
  <c r="K43" i="5"/>
  <c r="I43" i="5"/>
  <c r="G43" i="5"/>
  <c r="L43" i="5" s="1"/>
  <c r="F43" i="5"/>
  <c r="E43" i="5"/>
  <c r="D43" i="5"/>
  <c r="C43" i="5"/>
  <c r="K42" i="5"/>
  <c r="I42" i="5"/>
  <c r="G42" i="5"/>
  <c r="L42" i="5" s="1"/>
  <c r="F42" i="5"/>
  <c r="E42" i="5"/>
  <c r="D42" i="5"/>
  <c r="C42" i="5"/>
  <c r="K41" i="5"/>
  <c r="I41" i="5"/>
  <c r="G41" i="5"/>
  <c r="L41" i="5" s="1"/>
  <c r="F41" i="5"/>
  <c r="E41" i="5"/>
  <c r="D41" i="5"/>
  <c r="C41" i="5"/>
  <c r="K40" i="5"/>
  <c r="I40" i="5"/>
  <c r="G40" i="5"/>
  <c r="L40" i="5" s="1"/>
  <c r="F40" i="5"/>
  <c r="E40" i="5"/>
  <c r="D40" i="5"/>
  <c r="C40" i="5"/>
  <c r="K39" i="5"/>
  <c r="I39" i="5"/>
  <c r="G39" i="5"/>
  <c r="L39" i="5" s="1"/>
  <c r="F39" i="5"/>
  <c r="E39" i="5"/>
  <c r="D39" i="5"/>
  <c r="C39" i="5"/>
  <c r="K38" i="5"/>
  <c r="I38" i="5"/>
  <c r="G38" i="5"/>
  <c r="L38" i="5" s="1"/>
  <c r="F38" i="5"/>
  <c r="E38" i="5"/>
  <c r="D38" i="5"/>
  <c r="C38" i="5"/>
  <c r="K37" i="5"/>
  <c r="I37" i="5"/>
  <c r="G37" i="5"/>
  <c r="L37" i="5" s="1"/>
  <c r="F37" i="5"/>
  <c r="E37" i="5"/>
  <c r="D37" i="5"/>
  <c r="C37" i="5"/>
  <c r="K36" i="5"/>
  <c r="I36" i="5"/>
  <c r="G36" i="5"/>
  <c r="L36" i="5" s="1"/>
  <c r="F36" i="5"/>
  <c r="E36" i="5"/>
  <c r="D36" i="5"/>
  <c r="C36" i="5"/>
  <c r="K35" i="5"/>
  <c r="I35" i="5"/>
  <c r="G35" i="5"/>
  <c r="L35" i="5" s="1"/>
  <c r="F35" i="5"/>
  <c r="E35" i="5"/>
  <c r="D35" i="5"/>
  <c r="C35" i="5"/>
  <c r="K34" i="5"/>
  <c r="I34" i="5"/>
  <c r="G34" i="5"/>
  <c r="F34" i="5"/>
  <c r="E34" i="5"/>
  <c r="D34" i="5"/>
  <c r="C34" i="5"/>
  <c r="K33" i="5"/>
  <c r="I33" i="5"/>
  <c r="G33" i="5"/>
  <c r="L33" i="5" s="1"/>
  <c r="F33" i="5"/>
  <c r="E33" i="5"/>
  <c r="D33" i="5"/>
  <c r="C33" i="5"/>
  <c r="K32" i="5"/>
  <c r="I32" i="5"/>
  <c r="G32" i="5"/>
  <c r="L32" i="5" s="1"/>
  <c r="F32" i="5"/>
  <c r="E32" i="5"/>
  <c r="D32" i="5"/>
  <c r="C32" i="5"/>
  <c r="K31" i="5"/>
  <c r="I31" i="5"/>
  <c r="G31" i="5"/>
  <c r="L31" i="5" s="1"/>
  <c r="F31" i="5"/>
  <c r="E31" i="5"/>
  <c r="D31" i="5"/>
  <c r="C31" i="5"/>
  <c r="K30" i="5"/>
  <c r="I30" i="5"/>
  <c r="G30" i="5"/>
  <c r="L30" i="5" s="1"/>
  <c r="F30" i="5"/>
  <c r="E30" i="5"/>
  <c r="D30" i="5"/>
  <c r="C30" i="5"/>
  <c r="K29" i="5"/>
  <c r="I29" i="5"/>
  <c r="G29" i="5"/>
  <c r="L29" i="5" s="1"/>
  <c r="F29" i="5"/>
  <c r="E29" i="5"/>
  <c r="D29" i="5"/>
  <c r="C29" i="5"/>
  <c r="K28" i="5"/>
  <c r="I28" i="5"/>
  <c r="G28" i="5"/>
  <c r="L28" i="5" s="1"/>
  <c r="F28" i="5"/>
  <c r="E28" i="5"/>
  <c r="D28" i="5"/>
  <c r="C28" i="5"/>
  <c r="K27" i="5"/>
  <c r="I27" i="5"/>
  <c r="G27" i="5"/>
  <c r="F27" i="5"/>
  <c r="E27" i="5"/>
  <c r="D27" i="5"/>
  <c r="C27" i="5"/>
  <c r="K26" i="5"/>
  <c r="I26" i="5"/>
  <c r="G26" i="5"/>
  <c r="L26" i="5" s="1"/>
  <c r="F26" i="5"/>
  <c r="E26" i="5"/>
  <c r="D26" i="5"/>
  <c r="C26" i="5"/>
  <c r="K25" i="5"/>
  <c r="I25" i="5"/>
  <c r="G25" i="5"/>
  <c r="L25" i="5" s="1"/>
  <c r="F25" i="5"/>
  <c r="E25" i="5"/>
  <c r="D25" i="5"/>
  <c r="C25" i="5"/>
  <c r="K24" i="5"/>
  <c r="I24" i="5"/>
  <c r="G24" i="5"/>
  <c r="L24" i="5" s="1"/>
  <c r="F24" i="5"/>
  <c r="E24" i="5"/>
  <c r="D24" i="5"/>
  <c r="C24" i="5"/>
  <c r="K23" i="5"/>
  <c r="I23" i="5"/>
  <c r="G23" i="5"/>
  <c r="L23" i="5" s="1"/>
  <c r="F23" i="5"/>
  <c r="E23" i="5"/>
  <c r="D23" i="5"/>
  <c r="C23" i="5"/>
  <c r="K22" i="5"/>
  <c r="I22" i="5"/>
  <c r="G22" i="5"/>
  <c r="L22" i="5" s="1"/>
  <c r="F22" i="5"/>
  <c r="E22" i="5"/>
  <c r="D22" i="5"/>
  <c r="C22" i="5"/>
  <c r="K21" i="5"/>
  <c r="I21" i="5"/>
  <c r="G21" i="5"/>
  <c r="L21" i="5" s="1"/>
  <c r="F21" i="5"/>
  <c r="E21" i="5"/>
  <c r="D21" i="5"/>
  <c r="C21" i="5"/>
  <c r="K20" i="5"/>
  <c r="I20" i="5"/>
  <c r="G20" i="5"/>
  <c r="F20" i="5"/>
  <c r="E20" i="5"/>
  <c r="D20" i="5"/>
  <c r="C20" i="5"/>
  <c r="K19" i="5"/>
  <c r="I19" i="5"/>
  <c r="G19" i="5"/>
  <c r="L19" i="5" s="1"/>
  <c r="F19" i="5"/>
  <c r="E19" i="5"/>
  <c r="D19" i="5"/>
  <c r="C19" i="5"/>
  <c r="K18" i="5"/>
  <c r="I18" i="5"/>
  <c r="G18" i="5"/>
  <c r="L18" i="5" s="1"/>
  <c r="F18" i="5"/>
  <c r="E18" i="5"/>
  <c r="D18" i="5"/>
  <c r="C18" i="5"/>
  <c r="K17" i="5"/>
  <c r="I17" i="5"/>
  <c r="G17" i="5"/>
  <c r="L17" i="5" s="1"/>
  <c r="F17" i="5"/>
  <c r="E17" i="5"/>
  <c r="D17" i="5"/>
  <c r="C17" i="5"/>
  <c r="K16" i="5"/>
  <c r="I16" i="5"/>
  <c r="G16" i="5"/>
  <c r="L16" i="5" s="1"/>
  <c r="F16" i="5"/>
  <c r="E16" i="5"/>
  <c r="D16" i="5"/>
  <c r="C16" i="5"/>
  <c r="K15" i="5"/>
  <c r="I15" i="5"/>
  <c r="G15" i="5"/>
  <c r="L15" i="5" s="1"/>
  <c r="F15" i="5"/>
  <c r="E15" i="5"/>
  <c r="D15" i="5"/>
  <c r="C15" i="5"/>
  <c r="K14" i="5"/>
  <c r="I14" i="5"/>
  <c r="G14" i="5"/>
  <c r="L14" i="5" s="1"/>
  <c r="F14" i="5"/>
  <c r="E14" i="5"/>
  <c r="D14" i="5"/>
  <c r="C14" i="5"/>
  <c r="K13" i="5"/>
  <c r="I13" i="5"/>
  <c r="G13" i="5"/>
  <c r="F13" i="5"/>
  <c r="E13" i="5"/>
  <c r="D13" i="5"/>
  <c r="C13" i="5"/>
  <c r="K12" i="5"/>
  <c r="I12" i="5"/>
  <c r="G12" i="5"/>
  <c r="L12" i="5" s="1"/>
  <c r="F12" i="5"/>
  <c r="E12" i="5"/>
  <c r="D12" i="5"/>
  <c r="C12" i="5"/>
  <c r="K11" i="5"/>
  <c r="I11" i="5"/>
  <c r="G11" i="5"/>
  <c r="L11" i="5" s="1"/>
  <c r="F11" i="5"/>
  <c r="E11" i="5"/>
  <c r="D11" i="5"/>
  <c r="C11" i="5"/>
  <c r="K10" i="5"/>
  <c r="I10" i="5"/>
  <c r="G10" i="5"/>
  <c r="L10" i="5" s="1"/>
  <c r="F10" i="5"/>
  <c r="E10" i="5"/>
  <c r="D10" i="5"/>
  <c r="C10" i="5"/>
  <c r="K9" i="5"/>
  <c r="K44" i="5" s="1"/>
  <c r="I9" i="5"/>
  <c r="I44" i="5" s="1"/>
  <c r="G9" i="5"/>
  <c r="L9" i="5" s="1"/>
  <c r="F9" i="5"/>
  <c r="E9" i="5"/>
  <c r="E44" i="5" s="1"/>
  <c r="D9" i="5"/>
  <c r="C9" i="5"/>
  <c r="B3" i="5"/>
  <c r="H6" i="5" s="1"/>
  <c r="J44" i="4"/>
  <c r="I44" i="4"/>
  <c r="H44" i="4"/>
  <c r="G44" i="4"/>
  <c r="F44" i="4"/>
  <c r="D41" i="4"/>
  <c r="D40" i="4"/>
  <c r="D39" i="4"/>
  <c r="D38" i="4"/>
  <c r="D37" i="4"/>
  <c r="D36" i="4"/>
  <c r="D35" i="4"/>
  <c r="D27" i="4"/>
  <c r="D26" i="4"/>
  <c r="D25" i="4"/>
  <c r="D24" i="4"/>
  <c r="D23" i="4"/>
  <c r="D22" i="4"/>
  <c r="D21" i="4"/>
  <c r="D13" i="4"/>
  <c r="D12" i="4"/>
  <c r="D11" i="4"/>
  <c r="D10" i="4"/>
  <c r="D9" i="4"/>
  <c r="D8" i="4"/>
  <c r="B3" i="4"/>
  <c r="D34" i="4" s="1"/>
  <c r="G2" i="4"/>
  <c r="D43" i="4" s="1"/>
  <c r="J44" i="3"/>
  <c r="I44" i="3"/>
  <c r="H44" i="3"/>
  <c r="G44" i="3"/>
  <c r="F44" i="3"/>
  <c r="B3" i="3"/>
  <c r="D17" i="3" s="1"/>
  <c r="G2" i="3"/>
  <c r="J44" i="1"/>
  <c r="I44" i="1"/>
  <c r="H44" i="1"/>
  <c r="G44" i="1"/>
  <c r="F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L13" i="5" l="1"/>
  <c r="L27" i="5"/>
  <c r="C44" i="5"/>
  <c r="F44" i="5"/>
  <c r="L20" i="5"/>
  <c r="L34" i="5"/>
  <c r="L44" i="5" s="1"/>
  <c r="D44" i="5"/>
  <c r="D68" i="11" a="1"/>
  <c r="D68" i="11" s="1"/>
  <c r="C66" i="11" a="1"/>
  <c r="C66" i="11" s="1"/>
  <c r="E66" i="11" a="1"/>
  <c r="E66" i="11" s="1"/>
  <c r="E72" i="11" a="1"/>
  <c r="E72" i="11" s="1"/>
  <c r="D54" i="11" a="1"/>
  <c r="D54" i="11" s="1"/>
  <c r="E54" i="11" a="1"/>
  <c r="E54" i="11" s="1"/>
  <c r="C54" i="11" a="1"/>
  <c r="C54" i="11" s="1"/>
  <c r="F54" i="11" s="1"/>
  <c r="E59" i="11" a="1"/>
  <c r="E59" i="11" s="1"/>
  <c r="C53" i="11" a="1"/>
  <c r="C53" i="11" s="1"/>
  <c r="D57" i="11" a="1"/>
  <c r="D57" i="11" s="1"/>
  <c r="E57" i="11" a="1"/>
  <c r="E57" i="11" s="1"/>
  <c r="C57" i="11" a="1"/>
  <c r="C57" i="11" s="1"/>
  <c r="F57" i="11" s="1"/>
  <c r="C58" i="11" a="1"/>
  <c r="C58" i="11" s="1"/>
  <c r="E58" i="11" a="1"/>
  <c r="E58" i="11" s="1"/>
  <c r="D58" i="11" a="1"/>
  <c r="D58" i="11" s="1"/>
  <c r="D62" i="11" a="1"/>
  <c r="D62" i="11" s="1"/>
  <c r="E62" i="11" a="1"/>
  <c r="E62" i="11" s="1"/>
  <c r="C62" i="11" a="1"/>
  <c r="C62" i="11" s="1"/>
  <c r="F62" i="11" s="1"/>
  <c r="D67" i="11" a="1"/>
  <c r="D67" i="11" s="1"/>
  <c r="E61" i="11" a="1"/>
  <c r="E61" i="11" s="1"/>
  <c r="C64" i="11" a="1"/>
  <c r="C64" i="11" s="1"/>
  <c r="D64" i="11" a="1"/>
  <c r="D64" i="11" s="1"/>
  <c r="E64" i="11" a="1"/>
  <c r="E64" i="11" s="1"/>
  <c r="E60" i="11" a="1"/>
  <c r="E60" i="11" s="1"/>
  <c r="D60" i="11" a="1"/>
  <c r="D60" i="11" s="1"/>
  <c r="C60" i="11" a="1"/>
  <c r="C60" i="11" s="1"/>
  <c r="F60" i="11" s="1"/>
  <c r="C70" i="11" a="1"/>
  <c r="C70" i="11" s="1"/>
  <c r="F70" i="11" s="1"/>
  <c r="C68" i="11" a="1"/>
  <c r="C68" i="11" s="1"/>
  <c r="C63" i="11" a="1"/>
  <c r="C63" i="11" s="1"/>
  <c r="E70" i="11" a="1"/>
  <c r="E70" i="11" s="1"/>
  <c r="D71" i="11" a="1"/>
  <c r="D71" i="11" s="1"/>
  <c r="E71" i="11" a="1"/>
  <c r="E71" i="11" s="1"/>
  <c r="C71" i="11" a="1"/>
  <c r="C71" i="11" s="1"/>
  <c r="F71" i="11" s="1"/>
  <c r="E52" i="11" a="1"/>
  <c r="E52" i="11" s="1"/>
  <c r="D52" i="11" a="1"/>
  <c r="D52" i="11" s="1"/>
  <c r="C52" i="11" a="1"/>
  <c r="C52" i="11" s="1"/>
  <c r="F52" i="11" s="1"/>
  <c r="E65" i="11" a="1"/>
  <c r="E65" i="11" s="1"/>
  <c r="D65" i="11" a="1"/>
  <c r="D65" i="11" s="1"/>
  <c r="C65" i="11" a="1"/>
  <c r="C65" i="11" s="1"/>
  <c r="F65" i="11" s="1"/>
  <c r="E56" i="11" a="1"/>
  <c r="E56" i="11" s="1"/>
  <c r="G8" i="11"/>
  <c r="D56" i="11" s="1" a="1"/>
  <c r="D56" i="11" s="1"/>
  <c r="D70" i="11" a="1"/>
  <c r="D70" i="11" s="1"/>
  <c r="C61" i="11" a="1"/>
  <c r="C61" i="11" s="1"/>
  <c r="C67" i="11" a="1"/>
  <c r="C67" i="11" s="1"/>
  <c r="D61" i="11" a="1"/>
  <c r="D61" i="11" s="1"/>
  <c r="E67" i="11" a="1"/>
  <c r="E67" i="11" s="1"/>
  <c r="N14" i="10"/>
  <c r="M14" i="10"/>
  <c r="N30" i="10"/>
  <c r="M30" i="10"/>
  <c r="N9" i="10"/>
  <c r="M9" i="10"/>
  <c r="N16" i="10"/>
  <c r="M16" i="10"/>
  <c r="N21" i="10"/>
  <c r="M21" i="10"/>
  <c r="M23" i="10"/>
  <c r="N23" i="10"/>
  <c r="M37" i="10"/>
  <c r="N37" i="10"/>
  <c r="L28" i="10"/>
  <c r="L35" i="10"/>
  <c r="L12" i="10"/>
  <c r="N15" i="10"/>
  <c r="M15" i="10"/>
  <c r="N43" i="10"/>
  <c r="M43" i="10"/>
  <c r="N10" i="10"/>
  <c r="M10" i="10"/>
  <c r="N22" i="10"/>
  <c r="M22" i="10"/>
  <c r="N29" i="10"/>
  <c r="M29" i="10"/>
  <c r="N36" i="10"/>
  <c r="M36" i="10"/>
  <c r="N17" i="10"/>
  <c r="M17" i="10"/>
  <c r="L20" i="10"/>
  <c r="M24" i="10"/>
  <c r="N24" i="10"/>
  <c r="N31" i="10"/>
  <c r="M31" i="10"/>
  <c r="I38" i="10"/>
  <c r="L38" i="10" s="1"/>
  <c r="G44" i="10"/>
  <c r="K28" i="10"/>
  <c r="K35" i="10"/>
  <c r="K42" i="10"/>
  <c r="L42" i="10" s="1"/>
  <c r="I13" i="10"/>
  <c r="L13" i="10" s="1"/>
  <c r="I20" i="10"/>
  <c r="I27" i="10"/>
  <c r="I34" i="10"/>
  <c r="I41" i="10"/>
  <c r="K13" i="10"/>
  <c r="K20" i="10"/>
  <c r="K27" i="10"/>
  <c r="L27" i="10" s="1"/>
  <c r="K34" i="10"/>
  <c r="L34" i="10" s="1"/>
  <c r="K41" i="10"/>
  <c r="L41" i="10" s="1"/>
  <c r="I12" i="10"/>
  <c r="I19" i="10"/>
  <c r="L19" i="10" s="1"/>
  <c r="I26" i="10"/>
  <c r="L26" i="10" s="1"/>
  <c r="I33" i="10"/>
  <c r="L33" i="10" s="1"/>
  <c r="I40" i="10"/>
  <c r="L40" i="10" s="1"/>
  <c r="K12" i="10"/>
  <c r="K19" i="10"/>
  <c r="K26" i="10"/>
  <c r="K33" i="10"/>
  <c r="K40" i="10"/>
  <c r="I11" i="10"/>
  <c r="I18" i="10"/>
  <c r="I25" i="10"/>
  <c r="I32" i="10"/>
  <c r="I39" i="10"/>
  <c r="L39" i="10" s="1"/>
  <c r="K11" i="10"/>
  <c r="K44" i="10" s="1"/>
  <c r="K18" i="10"/>
  <c r="K25" i="10"/>
  <c r="K32" i="10"/>
  <c r="L54" i="9" a="1"/>
  <c r="L54" i="9" s="1"/>
  <c r="H54" i="9" a="1"/>
  <c r="H54" i="9" s="1"/>
  <c r="N54" i="9" a="1"/>
  <c r="N54" i="9" s="1"/>
  <c r="G54" i="9" a="1"/>
  <c r="G54" i="9" s="1"/>
  <c r="M54" i="9" a="1"/>
  <c r="M54" i="9" s="1"/>
  <c r="E54" i="9" a="1"/>
  <c r="E54" i="9" s="1"/>
  <c r="J54" i="9" a="1"/>
  <c r="J54" i="9" s="1"/>
  <c r="C54" i="9" a="1"/>
  <c r="C54" i="9" s="1"/>
  <c r="F51" i="9" a="1"/>
  <c r="F51" i="9" s="1"/>
  <c r="K63" i="9" a="1"/>
  <c r="K63" i="9" s="1"/>
  <c r="K60" i="9" a="1"/>
  <c r="K60" i="9" s="1"/>
  <c r="D60" i="9" a="1"/>
  <c r="D60" i="9" s="1"/>
  <c r="J60" i="9" a="1"/>
  <c r="J60" i="9" s="1"/>
  <c r="C60" i="9" a="1"/>
  <c r="C60" i="9" s="1"/>
  <c r="I60" i="9" a="1"/>
  <c r="I60" i="9" s="1"/>
  <c r="H60" i="9" a="1"/>
  <c r="H60" i="9" s="1"/>
  <c r="G59" i="9" a="1"/>
  <c r="G59" i="9" s="1"/>
  <c r="M60" i="9" a="1"/>
  <c r="M60" i="9" s="1"/>
  <c r="M61" i="9" a="1"/>
  <c r="M61" i="9" s="1"/>
  <c r="F61" i="9" a="1"/>
  <c r="F61" i="9" s="1"/>
  <c r="D61" i="9" a="1"/>
  <c r="D61" i="9" s="1"/>
  <c r="L61" i="9" a="1"/>
  <c r="L61" i="9" s="1"/>
  <c r="E61" i="9" a="1"/>
  <c r="E61" i="9" s="1"/>
  <c r="K61" i="9" a="1"/>
  <c r="K61" i="9" s="1"/>
  <c r="M57" i="9" a="1"/>
  <c r="M57" i="9" s="1"/>
  <c r="F57" i="9" a="1"/>
  <c r="F57" i="9" s="1"/>
  <c r="C57" i="9" a="1"/>
  <c r="C57" i="9" s="1"/>
  <c r="E57" i="9" a="1"/>
  <c r="E57" i="9" s="1"/>
  <c r="K57" i="9" a="1"/>
  <c r="K57" i="9" s="1"/>
  <c r="D57" i="9" a="1"/>
  <c r="D57" i="9" s="1"/>
  <c r="J57" i="9" a="1"/>
  <c r="J57" i="9" s="1"/>
  <c r="H58" i="9" a="1"/>
  <c r="H58" i="9" s="1"/>
  <c r="C43" i="9"/>
  <c r="I55" i="9" a="1"/>
  <c r="I55" i="9" s="1"/>
  <c r="J55" i="9" a="1"/>
  <c r="J55" i="9" s="1"/>
  <c r="C55" i="9" a="1"/>
  <c r="C55" i="9" s="1"/>
  <c r="G55" i="9" a="1"/>
  <c r="G55" i="9" s="1"/>
  <c r="H55" i="9" a="1"/>
  <c r="H55" i="9" s="1"/>
  <c r="N55" i="9" a="1"/>
  <c r="N55" i="9" s="1"/>
  <c r="L56" i="9" a="1"/>
  <c r="L56" i="9" s="1"/>
  <c r="M55" i="9" a="1"/>
  <c r="M55" i="9" s="1"/>
  <c r="G12" i="9"/>
  <c r="I54" i="9" s="1" a="1"/>
  <c r="I54" i="9" s="1"/>
  <c r="H57" i="9" a="1"/>
  <c r="H57" i="9" s="1"/>
  <c r="I57" i="9" a="1"/>
  <c r="I57" i="9" s="1"/>
  <c r="F55" i="9" a="1"/>
  <c r="F55" i="9" s="1"/>
  <c r="D58" i="9" a="1"/>
  <c r="D58" i="9" s="1"/>
  <c r="F60" i="9" a="1"/>
  <c r="F60" i="9" s="1"/>
  <c r="G56" i="9" a="1"/>
  <c r="G56" i="9" s="1"/>
  <c r="I63" i="9" a="1"/>
  <c r="I63" i="9" s="1"/>
  <c r="E63" i="9" a="1"/>
  <c r="E63" i="9" s="1"/>
  <c r="G63" i="9" a="1"/>
  <c r="G63" i="9" s="1"/>
  <c r="L63" i="9" a="1"/>
  <c r="L63" i="9" s="1"/>
  <c r="M63" i="9" a="1"/>
  <c r="M63" i="9" s="1"/>
  <c r="F63" i="9" a="1"/>
  <c r="F63" i="9" s="1"/>
  <c r="K58" i="9" a="1"/>
  <c r="K58" i="9" s="1"/>
  <c r="C63" i="9" a="1"/>
  <c r="C63" i="9" s="1"/>
  <c r="G51" i="9" a="1"/>
  <c r="G51" i="9" s="1"/>
  <c r="D63" i="9" a="1"/>
  <c r="D63" i="9" s="1"/>
  <c r="H53" i="9" a="1"/>
  <c r="H53" i="9" s="1"/>
  <c r="M53" i="9" a="1"/>
  <c r="M53" i="9" s="1"/>
  <c r="D53" i="9" a="1"/>
  <c r="D53" i="9" s="1"/>
  <c r="N53" i="9" a="1"/>
  <c r="N53" i="9" s="1"/>
  <c r="G53" i="9" a="1"/>
  <c r="G53" i="9" s="1"/>
  <c r="E53" i="9" a="1"/>
  <c r="E53" i="9" s="1"/>
  <c r="K53" i="9" a="1"/>
  <c r="K53" i="9" s="1"/>
  <c r="L55" i="9" a="1"/>
  <c r="L55" i="9" s="1"/>
  <c r="C62" i="9" a="1"/>
  <c r="C62" i="9" s="1"/>
  <c r="G33" i="9"/>
  <c r="I56" i="9" a="1"/>
  <c r="I56" i="9" s="1"/>
  <c r="H56" i="9" a="1"/>
  <c r="H56" i="9" s="1"/>
  <c r="O66" i="9"/>
  <c r="H59" i="9" a="1"/>
  <c r="H59" i="9" s="1"/>
  <c r="L58" i="9" a="1"/>
  <c r="L58" i="9" s="1"/>
  <c r="C52" i="9" a="1"/>
  <c r="C52" i="9" s="1"/>
  <c r="I58" i="9" a="1"/>
  <c r="I58" i="9" s="1"/>
  <c r="L51" i="9" a="1"/>
  <c r="L51" i="9" s="1"/>
  <c r="E51" i="9" a="1"/>
  <c r="E51" i="9" s="1"/>
  <c r="C51" i="9" a="1"/>
  <c r="C51" i="9" s="1"/>
  <c r="J51" i="9" a="1"/>
  <c r="J51" i="9" s="1"/>
  <c r="K51" i="9" a="1"/>
  <c r="K51" i="9" s="1"/>
  <c r="D51" i="9" a="1"/>
  <c r="D51" i="9" s="1"/>
  <c r="I51" i="9" a="1"/>
  <c r="I51" i="9" s="1"/>
  <c r="H51" i="9" a="1"/>
  <c r="H51" i="9" s="1"/>
  <c r="N51" i="9" a="1"/>
  <c r="N51" i="9" s="1"/>
  <c r="D59" i="9" a="1"/>
  <c r="D59" i="9" s="1"/>
  <c r="H61" i="9" a="1"/>
  <c r="H61" i="9" s="1"/>
  <c r="N61" i="9" a="1"/>
  <c r="N61" i="9" s="1"/>
  <c r="H62" i="9" a="1"/>
  <c r="H62" i="9" s="1"/>
  <c r="D52" i="9" a="1"/>
  <c r="D52" i="9" s="1"/>
  <c r="K52" i="9" a="1"/>
  <c r="K52" i="9" s="1"/>
  <c r="C56" i="9" a="1"/>
  <c r="C56" i="9" s="1"/>
  <c r="J56" i="9" a="1"/>
  <c r="J56" i="9" s="1"/>
  <c r="F58" i="9" a="1"/>
  <c r="F58" i="9" s="1"/>
  <c r="M58" i="9" a="1"/>
  <c r="M58" i="9" s="1"/>
  <c r="E62" i="9" a="1"/>
  <c r="E62" i="9" s="1"/>
  <c r="L62" i="9" a="1"/>
  <c r="L62" i="9" s="1"/>
  <c r="D62" i="9" a="1"/>
  <c r="D62" i="9" s="1"/>
  <c r="E52" i="9" a="1"/>
  <c r="E52" i="9" s="1"/>
  <c r="L52" i="9" a="1"/>
  <c r="L52" i="9" s="1"/>
  <c r="D56" i="9" a="1"/>
  <c r="D56" i="9" s="1"/>
  <c r="K56" i="9" a="1"/>
  <c r="K56" i="9" s="1"/>
  <c r="N58" i="9" a="1"/>
  <c r="N58" i="9" s="1"/>
  <c r="F62" i="9" a="1"/>
  <c r="F62" i="9" s="1"/>
  <c r="M62" i="9" a="1"/>
  <c r="M62" i="9" s="1"/>
  <c r="I59" i="9" a="1"/>
  <c r="I59" i="9" s="1"/>
  <c r="F52" i="9" a="1"/>
  <c r="F52" i="9" s="1"/>
  <c r="E56" i="9" a="1"/>
  <c r="E56" i="9" s="1"/>
  <c r="G62" i="9" a="1"/>
  <c r="G62" i="9" s="1"/>
  <c r="C59" i="9" a="1"/>
  <c r="C59" i="9" s="1"/>
  <c r="N37" i="8"/>
  <c r="M37" i="8"/>
  <c r="N9" i="8"/>
  <c r="M9" i="8"/>
  <c r="L26" i="8"/>
  <c r="L29" i="8"/>
  <c r="L19" i="8"/>
  <c r="N24" i="8"/>
  <c r="M24" i="8"/>
  <c r="N17" i="8"/>
  <c r="M17" i="8"/>
  <c r="N30" i="8"/>
  <c r="M30" i="8"/>
  <c r="N31" i="8"/>
  <c r="M31" i="8"/>
  <c r="N23" i="8"/>
  <c r="M23" i="8"/>
  <c r="N16" i="8"/>
  <c r="M16" i="8"/>
  <c r="N10" i="8"/>
  <c r="M10" i="8"/>
  <c r="M38" i="8"/>
  <c r="N38" i="8"/>
  <c r="G44" i="8"/>
  <c r="K22" i="8"/>
  <c r="L22" i="8" s="1"/>
  <c r="K29" i="8"/>
  <c r="K36" i="8"/>
  <c r="L36" i="8" s="1"/>
  <c r="I14" i="8"/>
  <c r="L14" i="8" s="1"/>
  <c r="I21" i="8"/>
  <c r="L21" i="8" s="1"/>
  <c r="I28" i="8"/>
  <c r="L28" i="8" s="1"/>
  <c r="I35" i="8"/>
  <c r="L35" i="8" s="1"/>
  <c r="I42" i="8"/>
  <c r="K14" i="8"/>
  <c r="K21" i="8"/>
  <c r="K28" i="8"/>
  <c r="K35" i="8"/>
  <c r="K42" i="8"/>
  <c r="L42" i="8" s="1"/>
  <c r="I36" i="8"/>
  <c r="I43" i="8"/>
  <c r="K15" i="8"/>
  <c r="L15" i="8" s="1"/>
  <c r="K43" i="8"/>
  <c r="L43" i="8" s="1"/>
  <c r="I13" i="8"/>
  <c r="L13" i="8" s="1"/>
  <c r="I20" i="8"/>
  <c r="L20" i="8" s="1"/>
  <c r="I27" i="8"/>
  <c r="L27" i="8" s="1"/>
  <c r="I34" i="8"/>
  <c r="L34" i="8" s="1"/>
  <c r="I41" i="8"/>
  <c r="I12" i="8"/>
  <c r="L12" i="8" s="1"/>
  <c r="K13" i="8"/>
  <c r="I26" i="8"/>
  <c r="K12" i="8"/>
  <c r="K19" i="8"/>
  <c r="K26" i="8"/>
  <c r="K33" i="8"/>
  <c r="K40" i="8"/>
  <c r="K20" i="8"/>
  <c r="K27" i="8"/>
  <c r="K34" i="8"/>
  <c r="K44" i="8" s="1"/>
  <c r="K41" i="8"/>
  <c r="I33" i="8"/>
  <c r="L33" i="8" s="1"/>
  <c r="I11" i="8"/>
  <c r="I18" i="8"/>
  <c r="I25" i="8"/>
  <c r="I32" i="8"/>
  <c r="I39" i="8"/>
  <c r="L39" i="8" s="1"/>
  <c r="I19" i="8"/>
  <c r="I40" i="8"/>
  <c r="L40" i="8" s="1"/>
  <c r="K11" i="8"/>
  <c r="K18" i="8"/>
  <c r="K25" i="8"/>
  <c r="K32" i="8"/>
  <c r="M18" i="6"/>
  <c r="M16" i="6"/>
  <c r="O43" i="6"/>
  <c r="N43" i="6"/>
  <c r="M11" i="6"/>
  <c r="G44" i="6"/>
  <c r="C44" i="6"/>
  <c r="E44" i="6"/>
  <c r="I9" i="6"/>
  <c r="I10" i="6"/>
  <c r="M10" i="6" s="1"/>
  <c r="I11" i="6"/>
  <c r="I12" i="6"/>
  <c r="M12" i="6" s="1"/>
  <c r="I13" i="6"/>
  <c r="M13" i="6" s="1"/>
  <c r="I14" i="6"/>
  <c r="M14" i="6" s="1"/>
  <c r="I15" i="6"/>
  <c r="M15" i="6" s="1"/>
  <c r="I16" i="6"/>
  <c r="I17" i="6"/>
  <c r="M17" i="6" s="1"/>
  <c r="I18" i="6"/>
  <c r="I19" i="6"/>
  <c r="M19" i="6" s="1"/>
  <c r="I20" i="6"/>
  <c r="M20" i="6" s="1"/>
  <c r="I21" i="6"/>
  <c r="M21" i="6" s="1"/>
  <c r="I22" i="6"/>
  <c r="M22" i="6" s="1"/>
  <c r="I23" i="6"/>
  <c r="M23" i="6" s="1"/>
  <c r="I24" i="6"/>
  <c r="M24" i="6" s="1"/>
  <c r="I25" i="6"/>
  <c r="M25" i="6" s="1"/>
  <c r="I26" i="6"/>
  <c r="M26" i="6" s="1"/>
  <c r="I27" i="6"/>
  <c r="M27" i="6" s="1"/>
  <c r="I28" i="6"/>
  <c r="M28" i="6" s="1"/>
  <c r="I29" i="6"/>
  <c r="M29" i="6" s="1"/>
  <c r="I30" i="6"/>
  <c r="M30" i="6" s="1"/>
  <c r="I31" i="6"/>
  <c r="M31" i="6" s="1"/>
  <c r="I32" i="6"/>
  <c r="M32" i="6" s="1"/>
  <c r="I33" i="6"/>
  <c r="M33" i="6" s="1"/>
  <c r="I34" i="6"/>
  <c r="M34" i="6" s="1"/>
  <c r="I35" i="6"/>
  <c r="M35" i="6" s="1"/>
  <c r="I36" i="6"/>
  <c r="M36" i="6" s="1"/>
  <c r="I37" i="6"/>
  <c r="M37" i="6" s="1"/>
  <c r="I38" i="6"/>
  <c r="M38" i="6" s="1"/>
  <c r="I39" i="6"/>
  <c r="M39" i="6" s="1"/>
  <c r="I40" i="6"/>
  <c r="M40" i="6" s="1"/>
  <c r="I41" i="6"/>
  <c r="M41" i="6" s="1"/>
  <c r="I42" i="6"/>
  <c r="M42" i="6" s="1"/>
  <c r="N10" i="5"/>
  <c r="M10" i="5"/>
  <c r="N16" i="5"/>
  <c r="M16" i="5"/>
  <c r="N26" i="5"/>
  <c r="M26" i="5"/>
  <c r="N30" i="5"/>
  <c r="M30" i="5"/>
  <c r="N42" i="5"/>
  <c r="M42" i="5"/>
  <c r="M20" i="5"/>
  <c r="N20" i="5"/>
  <c r="M14" i="5"/>
  <c r="N14" i="5"/>
  <c r="N22" i="5"/>
  <c r="M22" i="5"/>
  <c r="N38" i="5"/>
  <c r="M38" i="5"/>
  <c r="N12" i="5"/>
  <c r="M12" i="5"/>
  <c r="N18" i="5"/>
  <c r="M18" i="5"/>
  <c r="N24" i="5"/>
  <c r="M24" i="5"/>
  <c r="M28" i="5"/>
  <c r="N28" i="5"/>
  <c r="M32" i="5"/>
  <c r="N32" i="5"/>
  <c r="N36" i="5"/>
  <c r="M36" i="5"/>
  <c r="M40" i="5"/>
  <c r="N40" i="5"/>
  <c r="N34" i="5"/>
  <c r="M34" i="5"/>
  <c r="N41" i="5"/>
  <c r="M41" i="5"/>
  <c r="M9" i="5"/>
  <c r="N9" i="5"/>
  <c r="M11" i="5"/>
  <c r="N11" i="5"/>
  <c r="N15" i="5"/>
  <c r="M15" i="5"/>
  <c r="N17" i="5"/>
  <c r="M17" i="5"/>
  <c r="M19" i="5"/>
  <c r="N19" i="5"/>
  <c r="N21" i="5"/>
  <c r="M21" i="5"/>
  <c r="N23" i="5"/>
  <c r="M23" i="5"/>
  <c r="N25" i="5"/>
  <c r="M25" i="5"/>
  <c r="N29" i="5"/>
  <c r="M29" i="5"/>
  <c r="N31" i="5"/>
  <c r="M31" i="5"/>
  <c r="N33" i="5"/>
  <c r="M33" i="5"/>
  <c r="N35" i="5"/>
  <c r="M35" i="5"/>
  <c r="N37" i="5"/>
  <c r="M37" i="5"/>
  <c r="N39" i="5"/>
  <c r="M39" i="5"/>
  <c r="N43" i="5"/>
  <c r="M43" i="5"/>
  <c r="N13" i="5"/>
  <c r="M13" i="5"/>
  <c r="M27" i="5"/>
  <c r="N27" i="5"/>
  <c r="G44" i="5"/>
  <c r="D14" i="4"/>
  <c r="D42" i="4"/>
  <c r="D15" i="4"/>
  <c r="D29" i="4"/>
  <c r="D16" i="4"/>
  <c r="D30" i="4"/>
  <c r="D17" i="4"/>
  <c r="D31" i="4"/>
  <c r="D18" i="4"/>
  <c r="D32" i="4"/>
  <c r="D19" i="4"/>
  <c r="D33" i="4"/>
  <c r="D28" i="4"/>
  <c r="D20" i="4"/>
  <c r="D20" i="3"/>
  <c r="D34" i="3"/>
  <c r="D35" i="3"/>
  <c r="D8" i="3"/>
  <c r="D22" i="3"/>
  <c r="D36" i="3"/>
  <c r="D21" i="3"/>
  <c r="D9" i="3"/>
  <c r="D23" i="3"/>
  <c r="D37" i="3"/>
  <c r="D32" i="3"/>
  <c r="D10" i="3"/>
  <c r="D24" i="3"/>
  <c r="D38" i="3"/>
  <c r="D11" i="3"/>
  <c r="D25" i="3"/>
  <c r="D39" i="3"/>
  <c r="D12" i="3"/>
  <c r="D26" i="3"/>
  <c r="D40" i="3"/>
  <c r="D13" i="3"/>
  <c r="D27" i="3"/>
  <c r="D41" i="3"/>
  <c r="D14" i="3"/>
  <c r="D28" i="3"/>
  <c r="D42" i="3"/>
  <c r="D15" i="3"/>
  <c r="D29" i="3"/>
  <c r="D43" i="3"/>
  <c r="D16" i="3"/>
  <c r="D31" i="3"/>
  <c r="D18" i="3"/>
  <c r="D19" i="3"/>
  <c r="D33" i="3"/>
  <c r="D30" i="3"/>
  <c r="M44" i="5" l="1"/>
  <c r="F58" i="11"/>
  <c r="F64" i="11"/>
  <c r="D66" i="11" a="1"/>
  <c r="D66" i="11" s="1"/>
  <c r="F66" i="11" s="1"/>
  <c r="F67" i="11"/>
  <c r="D72" i="11" a="1"/>
  <c r="D72" i="11" s="1"/>
  <c r="C56" i="11" a="1"/>
  <c r="C56" i="11" s="1"/>
  <c r="F56" i="11" s="1"/>
  <c r="E69" i="11" a="1"/>
  <c r="E69" i="11" s="1"/>
  <c r="E53" i="11" a="1"/>
  <c r="E53" i="11" s="1"/>
  <c r="F53" i="11" s="1"/>
  <c r="J6" i="11" a="1"/>
  <c r="J6" i="11" s="1"/>
  <c r="F75" i="11"/>
  <c r="E51" i="11" a="1"/>
  <c r="E51" i="11" s="1"/>
  <c r="G33" i="11"/>
  <c r="D51" i="11" a="1"/>
  <c r="D51" i="11" s="1"/>
  <c r="C51" i="11" a="1"/>
  <c r="C51" i="11" s="1"/>
  <c r="C72" i="11" a="1"/>
  <c r="C72" i="11" s="1"/>
  <c r="C55" i="11" a="1"/>
  <c r="C55" i="11" s="1"/>
  <c r="D53" i="11" a="1"/>
  <c r="D53" i="11" s="1"/>
  <c r="D69" i="11" a="1"/>
  <c r="D69" i="11" s="1"/>
  <c r="D63" i="11" a="1"/>
  <c r="D63" i="11" s="1"/>
  <c r="F63" i="11" s="1"/>
  <c r="F61" i="11"/>
  <c r="D55" i="11" a="1"/>
  <c r="D55" i="11" s="1"/>
  <c r="C59" i="11" a="1"/>
  <c r="C59" i="11" s="1"/>
  <c r="F59" i="11" s="1"/>
  <c r="E68" i="11" a="1"/>
  <c r="E68" i="11" s="1"/>
  <c r="F68" i="11" s="1"/>
  <c r="C69" i="11" a="1"/>
  <c r="C69" i="11" s="1"/>
  <c r="F69" i="11" s="1"/>
  <c r="E55" i="11" a="1"/>
  <c r="E55" i="11" s="1"/>
  <c r="D59" i="11" a="1"/>
  <c r="D59" i="11" s="1"/>
  <c r="E63" i="11" a="1"/>
  <c r="E63" i="11" s="1"/>
  <c r="M40" i="10"/>
  <c r="N40" i="10"/>
  <c r="N13" i="10"/>
  <c r="M13" i="10"/>
  <c r="M33" i="10"/>
  <c r="N33" i="10"/>
  <c r="N42" i="10"/>
  <c r="M42" i="10"/>
  <c r="M26" i="10"/>
  <c r="N26" i="10"/>
  <c r="M19" i="10"/>
  <c r="N19" i="10"/>
  <c r="N41" i="10"/>
  <c r="M41" i="10"/>
  <c r="N34" i="10"/>
  <c r="M34" i="10"/>
  <c r="N27" i="10"/>
  <c r="M27" i="10"/>
  <c r="M12" i="10"/>
  <c r="N12" i="10"/>
  <c r="N35" i="10"/>
  <c r="M35" i="10"/>
  <c r="N20" i="10"/>
  <c r="M20" i="10"/>
  <c r="N28" i="10"/>
  <c r="M28" i="10"/>
  <c r="I44" i="10"/>
  <c r="N39" i="10"/>
  <c r="M39" i="10"/>
  <c r="L32" i="10"/>
  <c r="M38" i="10"/>
  <c r="N38" i="10"/>
  <c r="L25" i="10"/>
  <c r="L18" i="10"/>
  <c r="L11" i="10"/>
  <c r="D55" i="9" a="1"/>
  <c r="D55" i="9" s="1"/>
  <c r="L57" i="9" a="1"/>
  <c r="L57" i="9" s="1"/>
  <c r="N52" i="9" a="1"/>
  <c r="N52" i="9" s="1"/>
  <c r="F56" i="9" a="1"/>
  <c r="F56" i="9" s="1"/>
  <c r="O56" i="9" s="1"/>
  <c r="O52" i="9"/>
  <c r="E58" i="9" a="1"/>
  <c r="E58" i="9" s="1"/>
  <c r="E64" i="9" s="1"/>
  <c r="J6" i="9" a="1"/>
  <c r="J6" i="9" s="1"/>
  <c r="L59" i="9" a="1"/>
  <c r="L59" i="9" s="1"/>
  <c r="K59" i="9" a="1"/>
  <c r="K59" i="9" s="1"/>
  <c r="N56" i="9" a="1"/>
  <c r="N56" i="9" s="1"/>
  <c r="C58" i="9" a="1"/>
  <c r="C58" i="9" s="1"/>
  <c r="E59" i="9" a="1"/>
  <c r="E59" i="9" s="1"/>
  <c r="O59" i="9" s="1"/>
  <c r="C53" i="9" a="1"/>
  <c r="C53" i="9" s="1"/>
  <c r="I52" i="9" a="1"/>
  <c r="I52" i="9" s="1"/>
  <c r="I62" i="9" a="1"/>
  <c r="I62" i="9" s="1"/>
  <c r="O62" i="9" s="1"/>
  <c r="H52" i="9" a="1"/>
  <c r="H52" i="9" s="1"/>
  <c r="H64" i="9" s="1"/>
  <c r="G52" i="9" a="1"/>
  <c r="G52" i="9" s="1"/>
  <c r="G64" i="9" s="1"/>
  <c r="K55" i="9" a="1"/>
  <c r="K55" i="9" s="1"/>
  <c r="G57" i="9" a="1"/>
  <c r="G57" i="9" s="1"/>
  <c r="O57" i="9" s="1"/>
  <c r="N59" i="9" a="1"/>
  <c r="N59" i="9" s="1"/>
  <c r="N64" i="9" s="1"/>
  <c r="F59" i="9" a="1"/>
  <c r="F59" i="9" s="1"/>
  <c r="F54" i="9" a="1"/>
  <c r="F54" i="9" s="1"/>
  <c r="F64" i="9" s="1"/>
  <c r="M56" i="9" a="1"/>
  <c r="M56" i="9" s="1"/>
  <c r="N62" i="9" a="1"/>
  <c r="N62" i="9" s="1"/>
  <c r="N57" i="9" a="1"/>
  <c r="N57" i="9" s="1"/>
  <c r="E60" i="9" a="1"/>
  <c r="E60" i="9" s="1"/>
  <c r="O60" i="9" s="1"/>
  <c r="J53" i="9" a="1"/>
  <c r="J53" i="9" s="1"/>
  <c r="J58" i="9" a="1"/>
  <c r="J58" i="9" s="1"/>
  <c r="J64" i="9" s="1"/>
  <c r="M59" i="9" a="1"/>
  <c r="M59" i="9" s="1"/>
  <c r="I53" i="9" a="1"/>
  <c r="I53" i="9" s="1"/>
  <c r="I64" i="9" s="1"/>
  <c r="I61" i="9" a="1"/>
  <c r="I61" i="9" s="1"/>
  <c r="L60" i="9" a="1"/>
  <c r="L60" i="9" s="1"/>
  <c r="M51" i="9" a="1"/>
  <c r="M51" i="9" s="1"/>
  <c r="J52" i="9" a="1"/>
  <c r="J52" i="9" s="1"/>
  <c r="L53" i="9" a="1"/>
  <c r="L53" i="9" s="1"/>
  <c r="L64" i="9" s="1"/>
  <c r="M52" i="9" a="1"/>
  <c r="M52" i="9" s="1"/>
  <c r="C61" i="9" a="1"/>
  <c r="C61" i="9" s="1"/>
  <c r="G60" i="9" a="1"/>
  <c r="G60" i="9" s="1"/>
  <c r="D54" i="9" a="1"/>
  <c r="D54" i="9" s="1"/>
  <c r="O54" i="9" s="1"/>
  <c r="J62" i="9" a="1"/>
  <c r="J62" i="9" s="1"/>
  <c r="O55" i="9"/>
  <c r="O51" i="9"/>
  <c r="N63" i="9" a="1"/>
  <c r="N63" i="9" s="1"/>
  <c r="G58" i="9" a="1"/>
  <c r="G58" i="9" s="1"/>
  <c r="K62" i="9" a="1"/>
  <c r="K62" i="9" s="1"/>
  <c r="J59" i="9" a="1"/>
  <c r="J59" i="9" s="1"/>
  <c r="F53" i="9" a="1"/>
  <c r="F53" i="9" s="1"/>
  <c r="H63" i="9" a="1"/>
  <c r="H63" i="9" s="1"/>
  <c r="O63" i="9" s="1"/>
  <c r="G61" i="9" a="1"/>
  <c r="G61" i="9" s="1"/>
  <c r="J63" i="9" a="1"/>
  <c r="J63" i="9" s="1"/>
  <c r="J61" i="9" a="1"/>
  <c r="J61" i="9" s="1"/>
  <c r="N60" i="9" a="1"/>
  <c r="N60" i="9" s="1"/>
  <c r="K54" i="9" a="1"/>
  <c r="K54" i="9" s="1"/>
  <c r="K64" i="9" s="1"/>
  <c r="E55" i="9" a="1"/>
  <c r="E55" i="9" s="1"/>
  <c r="N14" i="8"/>
  <c r="M14" i="8"/>
  <c r="N42" i="8"/>
  <c r="M42" i="8"/>
  <c r="M12" i="8"/>
  <c r="N12" i="8"/>
  <c r="N36" i="8"/>
  <c r="M36" i="8"/>
  <c r="N22" i="8"/>
  <c r="M22" i="8"/>
  <c r="M33" i="8"/>
  <c r="N33" i="8"/>
  <c r="N35" i="8"/>
  <c r="M35" i="8"/>
  <c r="N15" i="8"/>
  <c r="M15" i="8"/>
  <c r="M40" i="8"/>
  <c r="N40" i="8"/>
  <c r="M28" i="8"/>
  <c r="N28" i="8"/>
  <c r="N43" i="8"/>
  <c r="M43" i="8"/>
  <c r="N21" i="8"/>
  <c r="M21" i="8"/>
  <c r="M19" i="8"/>
  <c r="N19" i="8"/>
  <c r="N20" i="8"/>
  <c r="M20" i="8"/>
  <c r="N29" i="8"/>
  <c r="M29" i="8"/>
  <c r="N13" i="8"/>
  <c r="M13" i="8"/>
  <c r="I44" i="8"/>
  <c r="N39" i="8"/>
  <c r="M39" i="8"/>
  <c r="L32" i="8"/>
  <c r="N34" i="8"/>
  <c r="M34" i="8"/>
  <c r="N27" i="8"/>
  <c r="M27" i="8"/>
  <c r="L25" i="8"/>
  <c r="M26" i="8"/>
  <c r="N26" i="8"/>
  <c r="L18" i="8"/>
  <c r="L11" i="8"/>
  <c r="L41" i="8"/>
  <c r="J71" i="7" a="1"/>
  <c r="O27" i="6"/>
  <c r="N27" i="6"/>
  <c r="O25" i="6"/>
  <c r="N25" i="6"/>
  <c r="O31" i="6"/>
  <c r="N31" i="6"/>
  <c r="O22" i="6"/>
  <c r="N22" i="6"/>
  <c r="O20" i="6"/>
  <c r="N20" i="6"/>
  <c r="O13" i="6"/>
  <c r="N13" i="6"/>
  <c r="O23" i="6"/>
  <c r="N23" i="6"/>
  <c r="O17" i="6"/>
  <c r="N17" i="6"/>
  <c r="O30" i="6"/>
  <c r="N30" i="6"/>
  <c r="O28" i="6"/>
  <c r="N28" i="6"/>
  <c r="O14" i="6"/>
  <c r="N14" i="6"/>
  <c r="O41" i="6"/>
  <c r="N41" i="6"/>
  <c r="O12" i="6"/>
  <c r="N12" i="6"/>
  <c r="O18" i="6"/>
  <c r="N18" i="6"/>
  <c r="O32" i="6"/>
  <c r="N32" i="6"/>
  <c r="O42" i="6"/>
  <c r="N42" i="6"/>
  <c r="O40" i="6"/>
  <c r="N40" i="6"/>
  <c r="O26" i="6"/>
  <c r="N26" i="6"/>
  <c r="O38" i="6"/>
  <c r="N38" i="6"/>
  <c r="I44" i="6"/>
  <c r="O36" i="6"/>
  <c r="N36" i="6"/>
  <c r="O35" i="6"/>
  <c r="N35" i="6"/>
  <c r="O10" i="6"/>
  <c r="N10" i="6"/>
  <c r="O11" i="6"/>
  <c r="N11" i="6"/>
  <c r="O39" i="6"/>
  <c r="N39" i="6"/>
  <c r="O24" i="6"/>
  <c r="N24" i="6"/>
  <c r="O37" i="6"/>
  <c r="N37" i="6"/>
  <c r="O16" i="6"/>
  <c r="N16" i="6"/>
  <c r="O21" i="6"/>
  <c r="N21" i="6"/>
  <c r="O34" i="6"/>
  <c r="N34" i="6"/>
  <c r="M9" i="6"/>
  <c r="O33" i="6"/>
  <c r="N33" i="6"/>
  <c r="O19" i="6"/>
  <c r="N19" i="6"/>
  <c r="O29" i="6"/>
  <c r="N29" i="6"/>
  <c r="O15" i="6"/>
  <c r="N15" i="6"/>
  <c r="N48" i="5"/>
  <c r="N44" i="5"/>
  <c r="N47" i="5" s="1"/>
  <c r="F55" i="11" l="1"/>
  <c r="F72" i="11"/>
  <c r="F51" i="11"/>
  <c r="F73" i="11" s="1"/>
  <c r="C73" i="11"/>
  <c r="E73" i="11"/>
  <c r="D73" i="11"/>
  <c r="M25" i="10"/>
  <c r="N25" i="10"/>
  <c r="M11" i="10"/>
  <c r="N11" i="10"/>
  <c r="L44" i="10"/>
  <c r="N18" i="10"/>
  <c r="M18" i="10"/>
  <c r="N32" i="10"/>
  <c r="M32" i="10"/>
  <c r="D64" i="9"/>
  <c r="O53" i="9"/>
  <c r="O58" i="9"/>
  <c r="O61" i="9"/>
  <c r="O64" i="9" s="1"/>
  <c r="M64" i="9"/>
  <c r="C64" i="9"/>
  <c r="N32" i="8"/>
  <c r="M32" i="8"/>
  <c r="N41" i="8"/>
  <c r="M41" i="8"/>
  <c r="N25" i="8"/>
  <c r="M25" i="8"/>
  <c r="N11" i="8"/>
  <c r="M11" i="8"/>
  <c r="M44" i="8" s="1"/>
  <c r="L44" i="8"/>
  <c r="N18" i="8"/>
  <c r="M18" i="8"/>
  <c r="M44" i="6"/>
  <c r="O9" i="6"/>
  <c r="O44" i="6" s="1"/>
  <c r="O47" i="6" s="1"/>
  <c r="N9" i="6"/>
  <c r="N44" i="6" s="1"/>
  <c r="N49" i="5"/>
  <c r="F77" i="11" l="1"/>
  <c r="F76" i="11"/>
  <c r="N44" i="10"/>
  <c r="N47" i="10" s="1"/>
  <c r="M44" i="10"/>
  <c r="O68" i="9"/>
  <c r="O67" i="9"/>
  <c r="N44" i="8"/>
  <c r="N47" i="8" s="1"/>
  <c r="N48" i="8"/>
  <c r="N49" i="8" s="1"/>
  <c r="O42" i="8" s="1"/>
  <c r="P42" i="8" s="1"/>
  <c r="O36" i="8"/>
  <c r="P36" i="8" s="1"/>
  <c r="O29" i="8"/>
  <c r="P29" i="8" s="1"/>
  <c r="O40" i="8"/>
  <c r="P40" i="8" s="1"/>
  <c r="O37" i="8"/>
  <c r="P37" i="8" s="1"/>
  <c r="O30" i="8"/>
  <c r="P30" i="8" s="1"/>
  <c r="O23" i="8"/>
  <c r="P23" i="8" s="1"/>
  <c r="O48" i="6"/>
  <c r="O49" i="6" s="1"/>
  <c r="P43" i="6"/>
  <c r="Q43" i="6" s="1"/>
  <c r="S43" i="6" s="1"/>
  <c r="P42" i="6"/>
  <c r="Q42" i="6" s="1"/>
  <c r="S42" i="6" s="1"/>
  <c r="P41" i="6"/>
  <c r="Q41" i="6" s="1"/>
  <c r="S41" i="6" s="1"/>
  <c r="P40" i="6"/>
  <c r="Q40" i="6" s="1"/>
  <c r="S40" i="6" s="1"/>
  <c r="P39" i="6"/>
  <c r="Q39" i="6" s="1"/>
  <c r="S39" i="6" s="1"/>
  <c r="P38" i="6"/>
  <c r="Q38" i="6" s="1"/>
  <c r="S38" i="6" s="1"/>
  <c r="P37" i="6"/>
  <c r="Q37" i="6" s="1"/>
  <c r="S37" i="6" s="1"/>
  <c r="P36" i="6"/>
  <c r="Q36" i="6" s="1"/>
  <c r="S36" i="6" s="1"/>
  <c r="P35" i="6"/>
  <c r="Q35" i="6" s="1"/>
  <c r="S35" i="6" s="1"/>
  <c r="P34" i="6"/>
  <c r="Q34" i="6" s="1"/>
  <c r="S34" i="6" s="1"/>
  <c r="P33" i="6"/>
  <c r="Q33" i="6" s="1"/>
  <c r="S33" i="6" s="1"/>
  <c r="P32" i="6"/>
  <c r="Q32" i="6" s="1"/>
  <c r="S32" i="6" s="1"/>
  <c r="P31" i="6"/>
  <c r="Q31" i="6" s="1"/>
  <c r="S31" i="6" s="1"/>
  <c r="P30" i="6"/>
  <c r="Q30" i="6" s="1"/>
  <c r="S30" i="6" s="1"/>
  <c r="P29" i="6"/>
  <c r="Q29" i="6" s="1"/>
  <c r="S29" i="6" s="1"/>
  <c r="P28" i="6"/>
  <c r="Q28" i="6" s="1"/>
  <c r="S28" i="6" s="1"/>
  <c r="P27" i="6"/>
  <c r="Q27" i="6" s="1"/>
  <c r="S27" i="6" s="1"/>
  <c r="P26" i="6"/>
  <c r="Q26" i="6" s="1"/>
  <c r="S26" i="6" s="1"/>
  <c r="P25" i="6"/>
  <c r="Q25" i="6" s="1"/>
  <c r="S25" i="6" s="1"/>
  <c r="P24" i="6"/>
  <c r="Q24" i="6" s="1"/>
  <c r="S24" i="6" s="1"/>
  <c r="P23" i="6"/>
  <c r="Q23" i="6" s="1"/>
  <c r="S23" i="6" s="1"/>
  <c r="P22" i="6"/>
  <c r="Q22" i="6" s="1"/>
  <c r="S22" i="6" s="1"/>
  <c r="P21" i="6"/>
  <c r="Q21" i="6" s="1"/>
  <c r="S21" i="6" s="1"/>
  <c r="P20" i="6"/>
  <c r="Q20" i="6" s="1"/>
  <c r="S20" i="6" s="1"/>
  <c r="P19" i="6"/>
  <c r="Q19" i="6" s="1"/>
  <c r="S19" i="6" s="1"/>
  <c r="P18" i="6"/>
  <c r="Q18" i="6" s="1"/>
  <c r="S18" i="6" s="1"/>
  <c r="P17" i="6"/>
  <c r="Q17" i="6" s="1"/>
  <c r="S17" i="6" s="1"/>
  <c r="P16" i="6"/>
  <c r="Q16" i="6" s="1"/>
  <c r="S16" i="6" s="1"/>
  <c r="P15" i="6"/>
  <c r="Q15" i="6" s="1"/>
  <c r="S15" i="6" s="1"/>
  <c r="P14" i="6"/>
  <c r="Q14" i="6" s="1"/>
  <c r="S14" i="6" s="1"/>
  <c r="P13" i="6"/>
  <c r="Q13" i="6" s="1"/>
  <c r="S13" i="6" s="1"/>
  <c r="P12" i="6"/>
  <c r="Q12" i="6" s="1"/>
  <c r="S12" i="6" s="1"/>
  <c r="P11" i="6"/>
  <c r="Q11" i="6" s="1"/>
  <c r="S11" i="6" s="1"/>
  <c r="P10" i="6"/>
  <c r="Q10" i="6" s="1"/>
  <c r="S10" i="6" s="1"/>
  <c r="P9" i="6"/>
  <c r="O32" i="5"/>
  <c r="O28" i="5"/>
  <c r="O11" i="5"/>
  <c r="O39" i="5"/>
  <c r="O9" i="5"/>
  <c r="L9" i="6" s="1"/>
  <c r="O38" i="5"/>
  <c r="O10" i="5"/>
  <c r="O25" i="5"/>
  <c r="O20" i="5"/>
  <c r="O23" i="5"/>
  <c r="O42" i="5"/>
  <c r="O33" i="5"/>
  <c r="O27" i="5"/>
  <c r="O36" i="5"/>
  <c r="O12" i="5"/>
  <c r="O24" i="5"/>
  <c r="O15" i="5"/>
  <c r="O17" i="5"/>
  <c r="O37" i="5"/>
  <c r="O14" i="5"/>
  <c r="O16" i="5"/>
  <c r="O31" i="5"/>
  <c r="O18" i="5"/>
  <c r="O40" i="5"/>
  <c r="O30" i="5"/>
  <c r="O35" i="5"/>
  <c r="O34" i="5"/>
  <c r="O26" i="5"/>
  <c r="O22" i="5"/>
  <c r="O29" i="5"/>
  <c r="O21" i="5"/>
  <c r="O19" i="5"/>
  <c r="O13" i="5"/>
  <c r="O43" i="5"/>
  <c r="O41" i="5"/>
  <c r="P14" i="5" l="1"/>
  <c r="L14" i="6"/>
  <c r="C13" i="7" s="1"/>
  <c r="C8" i="7"/>
  <c r="P19" i="5"/>
  <c r="L19" i="6"/>
  <c r="C18" i="7" s="1"/>
  <c r="P39" i="5"/>
  <c r="L39" i="6"/>
  <c r="C38" i="7" s="1"/>
  <c r="P21" i="5"/>
  <c r="L21" i="6"/>
  <c r="C20" i="7" s="1"/>
  <c r="P11" i="5"/>
  <c r="L11" i="6"/>
  <c r="C10" i="7" s="1"/>
  <c r="G10" i="7" s="1"/>
  <c r="P29" i="5"/>
  <c r="L29" i="6"/>
  <c r="C28" i="7" s="1"/>
  <c r="G21" i="7" s="1"/>
  <c r="P28" i="5"/>
  <c r="L28" i="6"/>
  <c r="C27" i="7" s="1"/>
  <c r="G20" i="7" s="1"/>
  <c r="P22" i="5"/>
  <c r="L22" i="6"/>
  <c r="C21" i="7" s="1"/>
  <c r="G14" i="7" s="1"/>
  <c r="P12" i="5"/>
  <c r="L12" i="6"/>
  <c r="C11" i="7" s="1"/>
  <c r="G11" i="7" s="1"/>
  <c r="P36" i="5"/>
  <c r="L36" i="6"/>
  <c r="C35" i="7" s="1"/>
  <c r="G28" i="7" s="1"/>
  <c r="P34" i="5"/>
  <c r="L34" i="6"/>
  <c r="C33" i="7" s="1"/>
  <c r="G26" i="7" s="1"/>
  <c r="P27" i="5"/>
  <c r="L27" i="6"/>
  <c r="C26" i="7" s="1"/>
  <c r="G19" i="7" s="1"/>
  <c r="P33" i="5"/>
  <c r="L33" i="6"/>
  <c r="C32" i="7" s="1"/>
  <c r="G25" i="7" s="1"/>
  <c r="P42" i="5"/>
  <c r="L42" i="6"/>
  <c r="C41" i="7" s="1"/>
  <c r="G31" i="7" s="1"/>
  <c r="P40" i="5"/>
  <c r="L40" i="6"/>
  <c r="C39" i="7" s="1"/>
  <c r="P23" i="5"/>
  <c r="L23" i="6"/>
  <c r="C22" i="7" s="1"/>
  <c r="G15" i="7" s="1"/>
  <c r="P18" i="5"/>
  <c r="L18" i="6"/>
  <c r="C17" i="7" s="1"/>
  <c r="G13" i="7" s="1"/>
  <c r="P20" i="5"/>
  <c r="L20" i="6"/>
  <c r="C19" i="7" s="1"/>
  <c r="P31" i="5"/>
  <c r="L31" i="6"/>
  <c r="C30" i="7" s="1"/>
  <c r="G23" i="7" s="1"/>
  <c r="P25" i="5"/>
  <c r="L25" i="6"/>
  <c r="C24" i="7" s="1"/>
  <c r="G17" i="7" s="1"/>
  <c r="P43" i="5"/>
  <c r="L43" i="6"/>
  <c r="C42" i="7" s="1"/>
  <c r="G32" i="7" s="1"/>
  <c r="P13" i="5"/>
  <c r="L13" i="6"/>
  <c r="C12" i="7" s="1"/>
  <c r="P37" i="5"/>
  <c r="L37" i="6"/>
  <c r="C36" i="7" s="1"/>
  <c r="G29" i="7" s="1"/>
  <c r="P17" i="5"/>
  <c r="L17" i="6"/>
  <c r="C16" i="7" s="1"/>
  <c r="P15" i="5"/>
  <c r="L15" i="6"/>
  <c r="C14" i="7" s="1"/>
  <c r="P24" i="5"/>
  <c r="L24" i="6"/>
  <c r="C23" i="7" s="1"/>
  <c r="G16" i="7" s="1"/>
  <c r="P32" i="5"/>
  <c r="L32" i="6"/>
  <c r="C31" i="7" s="1"/>
  <c r="G24" i="7" s="1"/>
  <c r="P26" i="5"/>
  <c r="L26" i="6"/>
  <c r="C25" i="7" s="1"/>
  <c r="G18" i="7" s="1"/>
  <c r="P35" i="5"/>
  <c r="L35" i="6"/>
  <c r="C34" i="7" s="1"/>
  <c r="G27" i="7" s="1"/>
  <c r="P30" i="5"/>
  <c r="L30" i="6"/>
  <c r="C29" i="7" s="1"/>
  <c r="G22" i="7" s="1"/>
  <c r="P41" i="5"/>
  <c r="L41" i="6"/>
  <c r="C40" i="7" s="1"/>
  <c r="G30" i="7" s="1"/>
  <c r="P16" i="5"/>
  <c r="L16" i="6"/>
  <c r="C15" i="7" s="1"/>
  <c r="P10" i="5"/>
  <c r="L10" i="6"/>
  <c r="C9" i="7" s="1"/>
  <c r="G9" i="7" s="1"/>
  <c r="P38" i="5"/>
  <c r="L38" i="6"/>
  <c r="C37" i="7" s="1"/>
  <c r="N48" i="10"/>
  <c r="N49" i="10" s="1"/>
  <c r="O41" i="10" s="1"/>
  <c r="P41" i="10" s="1"/>
  <c r="O14" i="10"/>
  <c r="P14" i="10" s="1"/>
  <c r="O24" i="10"/>
  <c r="P24" i="10" s="1"/>
  <c r="O25" i="10"/>
  <c r="P25" i="10" s="1"/>
  <c r="O42" i="10"/>
  <c r="P42" i="10" s="1"/>
  <c r="O35" i="10"/>
  <c r="P35" i="10" s="1"/>
  <c r="O28" i="10"/>
  <c r="P28" i="10" s="1"/>
  <c r="O21" i="10"/>
  <c r="P21" i="10" s="1"/>
  <c r="O36" i="10"/>
  <c r="P36" i="10" s="1"/>
  <c r="O29" i="10"/>
  <c r="P29" i="10" s="1"/>
  <c r="O22" i="10"/>
  <c r="P22" i="10" s="1"/>
  <c r="O15" i="10"/>
  <c r="P15" i="10" s="1"/>
  <c r="O23" i="10"/>
  <c r="P23" i="10" s="1"/>
  <c r="O11" i="10"/>
  <c r="P11" i="10" s="1"/>
  <c r="O37" i="10"/>
  <c r="P37" i="10" s="1"/>
  <c r="O18" i="10"/>
  <c r="P18" i="10" s="1"/>
  <c r="O12" i="8"/>
  <c r="P12" i="8" s="1"/>
  <c r="O19" i="8"/>
  <c r="P19" i="8" s="1"/>
  <c r="O39" i="8"/>
  <c r="P39" i="8" s="1"/>
  <c r="O26" i="8"/>
  <c r="P26" i="8" s="1"/>
  <c r="O13" i="8"/>
  <c r="P13" i="8" s="1"/>
  <c r="O24" i="8"/>
  <c r="P24" i="8" s="1"/>
  <c r="O14" i="8"/>
  <c r="P14" i="8" s="1"/>
  <c r="O20" i="8"/>
  <c r="P20" i="8" s="1"/>
  <c r="O25" i="8"/>
  <c r="P25" i="8" s="1"/>
  <c r="O22" i="8"/>
  <c r="P22" i="8" s="1"/>
  <c r="O15" i="8"/>
  <c r="P15" i="8" s="1"/>
  <c r="O31" i="8"/>
  <c r="P31" i="8" s="1"/>
  <c r="O21" i="8"/>
  <c r="P21" i="8" s="1"/>
  <c r="O27" i="8"/>
  <c r="P27" i="8" s="1"/>
  <c r="O32" i="8"/>
  <c r="P32" i="8" s="1"/>
  <c r="O17" i="8"/>
  <c r="P17" i="8" s="1"/>
  <c r="O38" i="8"/>
  <c r="P38" i="8" s="1"/>
  <c r="O28" i="8"/>
  <c r="P28" i="8" s="1"/>
  <c r="O34" i="8"/>
  <c r="P34" i="8" s="1"/>
  <c r="O11" i="8"/>
  <c r="P11" i="8" s="1"/>
  <c r="O33" i="8"/>
  <c r="P33" i="8" s="1"/>
  <c r="O18" i="8"/>
  <c r="P18" i="8" s="1"/>
  <c r="O9" i="8"/>
  <c r="O35" i="8"/>
  <c r="P35" i="8" s="1"/>
  <c r="O41" i="8"/>
  <c r="P41" i="8" s="1"/>
  <c r="O10" i="8"/>
  <c r="P10" i="8" s="1"/>
  <c r="O43" i="8"/>
  <c r="P43" i="8" s="1"/>
  <c r="O16" i="8"/>
  <c r="P16" i="8" s="1"/>
  <c r="P44" i="6"/>
  <c r="Q9" i="6"/>
  <c r="O44" i="5"/>
  <c r="P9" i="5"/>
  <c r="C43" i="7" l="1"/>
  <c r="G8" i="7"/>
  <c r="P44" i="5"/>
  <c r="G12" i="7"/>
  <c r="L44" i="6"/>
  <c r="O20" i="10"/>
  <c r="P20" i="10" s="1"/>
  <c r="O32" i="10"/>
  <c r="P32" i="10" s="1"/>
  <c r="O27" i="10"/>
  <c r="P27" i="10" s="1"/>
  <c r="O43" i="10"/>
  <c r="P43" i="10" s="1"/>
  <c r="O33" i="10"/>
  <c r="P33" i="10" s="1"/>
  <c r="O34" i="10"/>
  <c r="P34" i="10" s="1"/>
  <c r="O39" i="10"/>
  <c r="P39" i="10" s="1"/>
  <c r="O12" i="10"/>
  <c r="P12" i="10" s="1"/>
  <c r="O38" i="10"/>
  <c r="P38" i="10" s="1"/>
  <c r="O17" i="10"/>
  <c r="P17" i="10" s="1"/>
  <c r="O31" i="10"/>
  <c r="P31" i="10" s="1"/>
  <c r="O13" i="10"/>
  <c r="P13" i="10" s="1"/>
  <c r="O19" i="10"/>
  <c r="P19" i="10" s="1"/>
  <c r="O16" i="10"/>
  <c r="P16" i="10" s="1"/>
  <c r="O40" i="10"/>
  <c r="P40" i="10" s="1"/>
  <c r="O26" i="10"/>
  <c r="P26" i="10" s="1"/>
  <c r="O9" i="10"/>
  <c r="O30" i="10"/>
  <c r="P30" i="10" s="1"/>
  <c r="O10" i="10"/>
  <c r="P10" i="10" s="1"/>
  <c r="O44" i="8"/>
  <c r="P9" i="8"/>
  <c r="P44" i="8" s="1"/>
  <c r="Q44" i="6"/>
  <c r="S9" i="6"/>
  <c r="S44" i="6" s="1"/>
  <c r="E54" i="7" l="1" a="1"/>
  <c r="E54" i="7" s="1"/>
  <c r="C57" i="7" a="1"/>
  <c r="C57" i="7" s="1"/>
  <c r="H66" i="7" a="1"/>
  <c r="H66" i="7" s="1"/>
  <c r="E66" i="7" a="1"/>
  <c r="E66" i="7" s="1"/>
  <c r="E62" i="7" a="1"/>
  <c r="E62" i="7" s="1"/>
  <c r="D64" i="7" a="1"/>
  <c r="D64" i="7" s="1"/>
  <c r="C55" i="7" a="1"/>
  <c r="C55" i="7" s="1"/>
  <c r="I65" i="7" a="1"/>
  <c r="I65" i="7" s="1"/>
  <c r="D57" i="7" a="1"/>
  <c r="D57" i="7" s="1"/>
  <c r="G64" i="7" a="1"/>
  <c r="G64" i="7" s="1"/>
  <c r="H57" i="7" a="1"/>
  <c r="H57" i="7" s="1"/>
  <c r="I64" i="7" a="1"/>
  <c r="I64" i="7" s="1"/>
  <c r="C66" i="7" a="1"/>
  <c r="C66" i="7" s="1"/>
  <c r="D59" i="7" a="1"/>
  <c r="D59" i="7" s="1"/>
  <c r="E61" i="7" a="1"/>
  <c r="E61" i="7" s="1"/>
  <c r="H52" i="7" a="1"/>
  <c r="H52" i="7" s="1"/>
  <c r="F66" i="7" a="1"/>
  <c r="F66" i="7" s="1"/>
  <c r="H62" i="7" a="1"/>
  <c r="H62" i="7" s="1"/>
  <c r="G67" i="7" a="1"/>
  <c r="G67" i="7" s="1"/>
  <c r="F55" i="7" a="1"/>
  <c r="F55" i="7" s="1"/>
  <c r="D61" i="7" a="1"/>
  <c r="D61" i="7" s="1"/>
  <c r="E60" i="7" a="1"/>
  <c r="E60" i="7" s="1"/>
  <c r="H68" i="7" a="1"/>
  <c r="H68" i="7" s="1"/>
  <c r="G33" i="7"/>
  <c r="H67" i="7" s="1" a="1"/>
  <c r="H67" i="7" s="1"/>
  <c r="J6" i="7" a="1"/>
  <c r="J6" i="7" s="1"/>
  <c r="E59" i="7" a="1"/>
  <c r="E59" i="7" s="1"/>
  <c r="F61" i="7" a="1"/>
  <c r="F61" i="7" s="1"/>
  <c r="C60" i="7" a="1"/>
  <c r="C60" i="7" s="1"/>
  <c r="C51" i="7" a="1"/>
  <c r="C51" i="7" s="1"/>
  <c r="C62" i="7" a="1"/>
  <c r="C62" i="7" s="1"/>
  <c r="D63" i="7" a="1"/>
  <c r="D63" i="7" s="1"/>
  <c r="G59" i="7" a="1"/>
  <c r="G59" i="7" s="1"/>
  <c r="I68" i="7" a="1"/>
  <c r="I68" i="7" s="1"/>
  <c r="G63" i="7" a="1"/>
  <c r="G63" i="7" s="1"/>
  <c r="D67" i="7" a="1"/>
  <c r="D67" i="7" s="1"/>
  <c r="H59" i="7" a="1"/>
  <c r="H59" i="7" s="1"/>
  <c r="I61" i="7" a="1"/>
  <c r="I61" i="7" s="1"/>
  <c r="I60" i="7" a="1"/>
  <c r="I60" i="7" s="1"/>
  <c r="F51" i="7" a="1"/>
  <c r="F51" i="7" s="1"/>
  <c r="O44" i="10"/>
  <c r="P9" i="10"/>
  <c r="P44" i="10" s="1"/>
  <c r="H65" i="7" l="1" a="1"/>
  <c r="H65" i="7" s="1"/>
  <c r="D60" i="7" a="1"/>
  <c r="D60" i="7" s="1"/>
  <c r="H53" i="7" a="1"/>
  <c r="H53" i="7" s="1"/>
  <c r="F58" i="7" a="1"/>
  <c r="F58" i="7" s="1"/>
  <c r="G62" i="7" a="1"/>
  <c r="G62" i="7" s="1"/>
  <c r="E65" i="7" a="1"/>
  <c r="E65" i="7" s="1"/>
  <c r="D66" i="7" a="1"/>
  <c r="D66" i="7" s="1"/>
  <c r="G56" i="7" a="1"/>
  <c r="G56" i="7" s="1"/>
  <c r="G57" i="7" a="1"/>
  <c r="G57" i="7" s="1"/>
  <c r="E56" i="7" a="1"/>
  <c r="E56" i="7" s="1"/>
  <c r="D58" i="7" a="1"/>
  <c r="D58" i="7" s="1"/>
  <c r="H54" i="7" a="1"/>
  <c r="H54" i="7" s="1"/>
  <c r="C53" i="7" a="1"/>
  <c r="C53" i="7" s="1"/>
  <c r="J71" i="7"/>
  <c r="E55" i="7" a="1"/>
  <c r="E55" i="7" s="1"/>
  <c r="G51" i="7" a="1"/>
  <c r="G51" i="7" s="1"/>
  <c r="C58" i="7" a="1"/>
  <c r="C58" i="7" s="1"/>
  <c r="I55" i="7" a="1"/>
  <c r="I55" i="7" s="1"/>
  <c r="C65" i="7" a="1"/>
  <c r="C65" i="7" s="1"/>
  <c r="D53" i="7" a="1"/>
  <c r="D53" i="7" s="1"/>
  <c r="F62" i="7" a="1"/>
  <c r="F62" i="7" s="1"/>
  <c r="I56" i="7" a="1"/>
  <c r="I56" i="7" s="1"/>
  <c r="C52" i="7" a="1"/>
  <c r="C52" i="7" s="1"/>
  <c r="E63" i="7" a="1"/>
  <c r="E63" i="7" s="1"/>
  <c r="G58" i="7" a="1"/>
  <c r="G58" i="7" s="1"/>
  <c r="E64" i="7" a="1"/>
  <c r="E64" i="7" s="1"/>
  <c r="C68" i="7" a="1"/>
  <c r="C68" i="7" s="1"/>
  <c r="G54" i="7" a="1"/>
  <c r="G54" i="7" s="1"/>
  <c r="F56" i="7" a="1"/>
  <c r="F56" i="7" s="1"/>
  <c r="E68" i="7" a="1"/>
  <c r="E68" i="7" s="1"/>
  <c r="C67" i="7" a="1"/>
  <c r="C67" i="7" s="1"/>
  <c r="I57" i="7" a="1"/>
  <c r="I57" i="7" s="1"/>
  <c r="D65" i="7" a="1"/>
  <c r="D65" i="7" s="1"/>
  <c r="I53" i="7" a="1"/>
  <c r="I53" i="7" s="1"/>
  <c r="F54" i="7" a="1"/>
  <c r="F54" i="7" s="1"/>
  <c r="I67" i="7" a="1"/>
  <c r="I67" i="7" s="1"/>
  <c r="F53" i="7" a="1"/>
  <c r="F53" i="7" s="1"/>
  <c r="F67" i="7" a="1"/>
  <c r="F67" i="7" s="1"/>
  <c r="I63" i="7" a="1"/>
  <c r="I63" i="7" s="1"/>
  <c r="C63" i="7" a="1"/>
  <c r="C63" i="7" s="1"/>
  <c r="I52" i="7" a="1"/>
  <c r="I52" i="7" s="1"/>
  <c r="C61" i="7" a="1"/>
  <c r="C61" i="7" s="1"/>
  <c r="J61" i="7" s="1"/>
  <c r="D54" i="7" a="1"/>
  <c r="D54" i="7" s="1"/>
  <c r="I58" i="7" a="1"/>
  <c r="I58" i="7" s="1"/>
  <c r="I54" i="7" a="1"/>
  <c r="I54" i="7" s="1"/>
  <c r="F63" i="7" a="1"/>
  <c r="F63" i="7" s="1"/>
  <c r="G53" i="7" a="1"/>
  <c r="G53" i="7" s="1"/>
  <c r="G52" i="7" a="1"/>
  <c r="G52" i="7" s="1"/>
  <c r="I59" i="7" a="1"/>
  <c r="I59" i="7" s="1"/>
  <c r="H64" i="7" a="1"/>
  <c r="H64" i="7" s="1"/>
  <c r="G65" i="7" a="1"/>
  <c r="G65" i="7" s="1"/>
  <c r="F64" i="7" a="1"/>
  <c r="F64" i="7" s="1"/>
  <c r="E57" i="7" a="1"/>
  <c r="E57" i="7" s="1"/>
  <c r="E67" i="7" a="1"/>
  <c r="E67" i="7" s="1"/>
  <c r="F52" i="7" a="1"/>
  <c r="F52" i="7" s="1"/>
  <c r="D68" i="7" a="1"/>
  <c r="D68" i="7" s="1"/>
  <c r="I66" i="7" a="1"/>
  <c r="I66" i="7" s="1"/>
  <c r="D56" i="7" a="1"/>
  <c r="D56" i="7" s="1"/>
  <c r="D62" i="7" a="1"/>
  <c r="D62" i="7" s="1"/>
  <c r="H58" i="7" a="1"/>
  <c r="H58" i="7" s="1"/>
  <c r="E53" i="7" a="1"/>
  <c r="E53" i="7" s="1"/>
  <c r="H63" i="7" a="1"/>
  <c r="H63" i="7" s="1"/>
  <c r="E52" i="7" a="1"/>
  <c r="E52" i="7" s="1"/>
  <c r="F60" i="7" a="1"/>
  <c r="F60" i="7" s="1"/>
  <c r="E51" i="7" a="1"/>
  <c r="E51" i="7" s="1"/>
  <c r="C54" i="7" a="1"/>
  <c r="C54" i="7" s="1"/>
  <c r="G66" i="7" a="1"/>
  <c r="G66" i="7" s="1"/>
  <c r="J66" i="7" s="1"/>
  <c r="F65" i="7" a="1"/>
  <c r="F65" i="7" s="1"/>
  <c r="H55" i="7" a="1"/>
  <c r="H55" i="7" s="1"/>
  <c r="F57" i="7" a="1"/>
  <c r="F57" i="7" s="1"/>
  <c r="C56" i="7" a="1"/>
  <c r="C56" i="7" s="1"/>
  <c r="H61" i="7" a="1"/>
  <c r="H61" i="7" s="1"/>
  <c r="G55" i="7" a="1"/>
  <c r="G55" i="7" s="1"/>
  <c r="F68" i="7" a="1"/>
  <c r="F68" i="7" s="1"/>
  <c r="D52" i="7" a="1"/>
  <c r="D52" i="7" s="1"/>
  <c r="C59" i="7" a="1"/>
  <c r="C59" i="7" s="1"/>
  <c r="G61" i="7" a="1"/>
  <c r="G61" i="7" s="1"/>
  <c r="C64" i="7" a="1"/>
  <c r="C64" i="7" s="1"/>
  <c r="J64" i="7" s="1"/>
  <c r="E58" i="7" a="1"/>
  <c r="E58" i="7" s="1"/>
  <c r="D51" i="7" a="1"/>
  <c r="D51" i="7" s="1"/>
  <c r="H60" i="7" a="1"/>
  <c r="H60" i="7" s="1"/>
  <c r="G68" i="7" a="1"/>
  <c r="G68" i="7" s="1"/>
  <c r="H51" i="7" a="1"/>
  <c r="H51" i="7" s="1"/>
  <c r="H69" i="7" s="1"/>
  <c r="G60" i="7" a="1"/>
  <c r="G60" i="7" s="1"/>
  <c r="D55" i="7" a="1"/>
  <c r="D55" i="7" s="1"/>
  <c r="F59" i="7" a="1"/>
  <c r="F59" i="7" s="1"/>
  <c r="I62" i="7" a="1"/>
  <c r="I62" i="7" s="1"/>
  <c r="H56" i="7" a="1"/>
  <c r="H56" i="7" s="1"/>
  <c r="I51" i="7" a="1"/>
  <c r="I51" i="7" s="1"/>
  <c r="J65" i="7" l="1"/>
  <c r="C69" i="7"/>
  <c r="J60" i="7"/>
  <c r="J52" i="7"/>
  <c r="J57" i="7"/>
  <c r="J59" i="7"/>
  <c r="J67" i="7"/>
  <c r="J55" i="7"/>
  <c r="G69" i="7"/>
  <c r="E69" i="7"/>
  <c r="J63" i="7"/>
  <c r="J68" i="7"/>
  <c r="J53" i="7"/>
  <c r="J58" i="7"/>
  <c r="F69" i="7"/>
  <c r="I69" i="7"/>
  <c r="D69" i="7"/>
  <c r="J54" i="7"/>
  <c r="J62" i="7"/>
  <c r="J51" i="7"/>
  <c r="J56" i="7"/>
  <c r="J69" i="7" l="1"/>
  <c r="J72" i="7" l="1"/>
  <c r="J7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<sst xmlns="http://schemas.openxmlformats.org/spreadsheetml/2006/main" count="972" uniqueCount="98">
  <si>
    <t>Mes (Fecha de emisión de factura)</t>
  </si>
  <si>
    <t>Versión</t>
  </si>
  <si>
    <t>def</t>
  </si>
  <si>
    <t>N°</t>
  </si>
  <si>
    <t>Clave</t>
  </si>
  <si>
    <t>Libro DP</t>
  </si>
  <si>
    <t>Distribuidora o Cooperativa</t>
  </si>
  <si>
    <t>EFACTAT</t>
  </si>
  <si>
    <t xml:space="preserve">EFACTBT </t>
  </si>
  <si>
    <t>EINYAT</t>
  </si>
  <si>
    <t>EINYBT</t>
  </si>
  <si>
    <t>MFAR</t>
  </si>
  <si>
    <t>[kWh]</t>
  </si>
  <si>
    <t>[$]</t>
  </si>
  <si>
    <t>CEC</t>
  </si>
  <si>
    <t>COELCHA</t>
  </si>
  <si>
    <t>EEC</t>
  </si>
  <si>
    <t>EMELCA</t>
  </si>
  <si>
    <t>CGED</t>
  </si>
  <si>
    <t>ELECDA SIC</t>
  </si>
  <si>
    <t>ELECDA</t>
  </si>
  <si>
    <t>EMELAT</t>
  </si>
  <si>
    <t>EMELECTRIC</t>
  </si>
  <si>
    <t>EMETAL</t>
  </si>
  <si>
    <t>ENEL DISTRIBUCIÓN</t>
  </si>
  <si>
    <t>LUZ ANDES</t>
  </si>
  <si>
    <t>CONAFE A</t>
  </si>
  <si>
    <t>CONAFE B</t>
  </si>
  <si>
    <t>ENELSA</t>
  </si>
  <si>
    <t>CRELL</t>
  </si>
  <si>
    <t>COPELEC</t>
  </si>
  <si>
    <t>EEPA</t>
  </si>
  <si>
    <t>COOPREL</t>
  </si>
  <si>
    <t>SOCOEPA</t>
  </si>
  <si>
    <t>COOPELAN</t>
  </si>
  <si>
    <t>FRONTEL</t>
  </si>
  <si>
    <t>LUZ OSORNO</t>
  </si>
  <si>
    <t>SAESA</t>
  </si>
  <si>
    <t>CODINER</t>
  </si>
  <si>
    <t>CHILQUINTA</t>
  </si>
  <si>
    <t>EDECSA</t>
  </si>
  <si>
    <t>LITORAL</t>
  </si>
  <si>
    <t>LUZLINARES</t>
  </si>
  <si>
    <t>LUZPARRAL</t>
  </si>
  <si>
    <t>TIL TIL</t>
  </si>
  <si>
    <t>TIL-TIL</t>
  </si>
  <si>
    <t>EMELARI</t>
  </si>
  <si>
    <t>ELIQSA</t>
  </si>
  <si>
    <t>ELECDA SING</t>
  </si>
  <si>
    <t>COOPERSOL</t>
  </si>
  <si>
    <t>DESA</t>
  </si>
  <si>
    <t>MATAQUITO</t>
  </si>
  <si>
    <t>Total</t>
  </si>
  <si>
    <t>VTD</t>
  </si>
  <si>
    <t>MFCD RGL</t>
  </si>
  <si>
    <t>MF7TRAN</t>
  </si>
  <si>
    <t>Montos Recaudados TD</t>
  </si>
  <si>
    <t>Variación IPC %</t>
  </si>
  <si>
    <t>Saldo + IPC</t>
  </si>
  <si>
    <t>Ajuste de saldo</t>
  </si>
  <si>
    <t>Ajuste de saldo + IPC</t>
  </si>
  <si>
    <t>VTD +Ajuste</t>
  </si>
  <si>
    <t>VTD Negativo</t>
  </si>
  <si>
    <t>VTD Positivo</t>
  </si>
  <si>
    <t>Monto a Transferir x empresa</t>
  </si>
  <si>
    <t>Saldo</t>
  </si>
  <si>
    <t>TOTAL</t>
  </si>
  <si>
    <t>Total VTD Positivo</t>
  </si>
  <si>
    <t>Total VTD Negativo</t>
  </si>
  <si>
    <t>Monto Final</t>
  </si>
  <si>
    <t>Montos Recaudados AR</t>
  </si>
  <si>
    <t>VA</t>
  </si>
  <si>
    <t>VR</t>
  </si>
  <si>
    <t>Diferencias en saldos</t>
  </si>
  <si>
    <t>Saldo final</t>
  </si>
  <si>
    <t>VTRS</t>
  </si>
  <si>
    <t>VTAS</t>
  </si>
  <si>
    <t>Montos a Transferir por Reliquidación de Ajustes y Recargos entre empresas concesionarias</t>
  </si>
  <si>
    <t>Montos a Transferir x empresa</t>
  </si>
  <si>
    <t>Diferencias en cuadros de pagos</t>
  </si>
  <si>
    <t>Montos a Transferir agrupado</t>
  </si>
  <si>
    <t>Montos a Transferir</t>
  </si>
  <si>
    <t>CGE</t>
  </si>
  <si>
    <t>ENEL DISTRIBUCION</t>
  </si>
  <si>
    <t>Cuadro de Pagos</t>
  </si>
  <si>
    <t>Pagan (montos en $)</t>
  </si>
  <si>
    <t>Reciben (montos en $)</t>
  </si>
  <si>
    <t>Montos Recaudados CD RGL</t>
  </si>
  <si>
    <t>MFCDRGL</t>
  </si>
  <si>
    <t>VD</t>
  </si>
  <si>
    <t>VC</t>
  </si>
  <si>
    <t>VTCS</t>
  </si>
  <si>
    <t>VTDS</t>
  </si>
  <si>
    <t>Montos a Transferir por Reliquidación de Cargo y Descuento por Reconocimiento de Generación Local entre empresas concesionarias</t>
  </si>
  <si>
    <t xml:space="preserve"> </t>
  </si>
  <si>
    <t>Montos Recaudados 7TRAN</t>
  </si>
  <si>
    <t>Montos a transferir por descuento en comunas reconocidas como zonas en transición (7° Transitorio)</t>
  </si>
  <si>
    <t>resumen_montos_facturados_TD_AR_CDpRGL_2503def.xlsx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</si>
</sst>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#,##0_ ;[Red]\-#,##0\ "/>
    <numFmt numFmtId="165" formatCode="_-* #,##0_-;\-* #,##0_-;_-* &quot;-&quot;_-;_-@_-"/>
    <numFmt numFmtId="166" formatCode="mmmm\ yyyy"/>
    <numFmt numFmtId="167" formatCode="0.0000%"/>
    <numFmt numFmtId="168" formatCode="0.00000%"/>
  </numFmts>
  <fonts count="11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15" fontId="4" fillId="0" borderId="1" xfId="0" applyNumberFormat="1" applyFont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7" fillId="0" borderId="1" xfId="0" applyNumberFormat="1" applyFont="1" applyBorder="1"/>
    <xf numFmtId="164" fontId="0" fillId="0" borderId="0" xfId="0" applyNumberFormat="1"/>
    <xf numFmtId="9" fontId="0" fillId="0" borderId="0" xfId="3" applyFont="1"/>
    <xf numFmtId="0" fontId="6" fillId="0" borderId="4" xfId="0" applyFont="1" applyBorder="1"/>
    <xf numFmtId="0" fontId="0" fillId="0" borderId="2" xfId="0" applyBorder="1"/>
    <xf numFmtId="0" fontId="0" fillId="0" borderId="3" xfId="0" applyBorder="1"/>
    <xf numFmtId="164" fontId="9" fillId="0" borderId="1" xfId="0" applyNumberFormat="1" applyFont="1" applyBorder="1"/>
    <xf numFmtId="3" fontId="0" fillId="0" borderId="0" xfId="0" applyNumberFormat="1"/>
    <xf numFmtId="165" fontId="0" fillId="0" borderId="0" xfId="1" applyFont="1"/>
    <xf numFmtId="0" fontId="6" fillId="0" borderId="0" xfId="0" applyFont="1"/>
    <xf numFmtId="0" fontId="2" fillId="0" borderId="0" xfId="0" applyFo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7" fontId="0" fillId="0" borderId="1" xfId="0" applyNumberFormat="1" applyBorder="1"/>
    <xf numFmtId="167" fontId="0" fillId="0" borderId="0" xfId="0" applyNumberFormat="1"/>
    <xf numFmtId="168" fontId="0" fillId="0" borderId="0" xfId="3" applyNumberFormat="1" applyFont="1" applyFill="1"/>
    <xf numFmtId="17" fontId="6" fillId="0" borderId="5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17" fontId="6" fillId="0" borderId="7" xfId="0" applyNumberFormat="1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164" fontId="7" fillId="0" borderId="5" xfId="0" applyNumberFormat="1" applyFont="1" applyBorder="1"/>
    <xf numFmtId="0" fontId="0" fillId="0" borderId="10" xfId="0" applyBorder="1"/>
    <xf numFmtId="164" fontId="7" fillId="0" borderId="7" xfId="0" applyNumberFormat="1" applyFont="1" applyBorder="1"/>
    <xf numFmtId="0" fontId="0" fillId="0" borderId="9" xfId="0" applyBorder="1"/>
    <xf numFmtId="164" fontId="7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6" fillId="0" borderId="11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3" borderId="0" xfId="0" applyFill="1"/>
    <xf numFmtId="3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2" fillId="0" borderId="0" xfId="0" applyNumberFormat="1" applyFont="1"/>
    <xf numFmtId="165" fontId="2" fillId="0" borderId="0" xfId="1" applyFont="1"/>
    <xf numFmtId="168" fontId="2" fillId="0" borderId="0" xfId="3" applyNumberFormat="1" applyFont="1" applyFill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7" fillId="0" borderId="0" xfId="0" applyNumberFormat="1" applyFont="1"/>
    <xf numFmtId="1" fontId="0" fillId="0" borderId="0" xfId="0" applyNumberFormat="1"/>
    <xf numFmtId="0" fontId="6" fillId="0" borderId="0" xfId="0" applyFont="1" applyAlignment="1">
      <alignment horizontal="left" indent="1"/>
    </xf>
    <xf numFmtId="0" fontId="0" fillId="3" borderId="0" xfId="0" applyFill="1" applyAlignment="1">
      <alignment horizontal="left" indent="1"/>
    </xf>
    <xf numFmtId="3" fontId="0" fillId="0" borderId="0" xfId="0" applyNumberFormat="1" applyAlignment="1">
      <alignment vertical="center"/>
    </xf>
    <xf numFmtId="164" fontId="9" fillId="0" borderId="0" xfId="0" applyNumberFormat="1" applyFont="1"/>
    <xf numFmtId="0" fontId="1" fillId="0" borderId="0" xfId="4"/>
    <xf numFmtId="3" fontId="6" fillId="0" borderId="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3" fontId="6" fillId="0" borderId="1" xfId="0" applyNumberFormat="1" applyFont="1" applyBorder="1" applyAlignment="1">
      <alignment horizontal="left"/>
    </xf>
    <xf numFmtId="3" fontId="0" fillId="4" borderId="8" xfId="0" applyNumberFormat="1" applyFill="1" applyBorder="1"/>
    <xf numFmtId="3" fontId="0" fillId="0" borderId="1" xfId="0" applyNumberFormat="1" applyBorder="1" applyAlignment="1">
      <alignment vertical="center"/>
    </xf>
    <xf numFmtId="3" fontId="6" fillId="0" borderId="8" xfId="0" applyNumberFormat="1" applyFont="1" applyBorder="1" applyAlignment="1">
      <alignment horizontal="left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42" fontId="2" fillId="0" borderId="0" xfId="2" applyFont="1"/>
    <xf numFmtId="0" fontId="2" fillId="3" borderId="0" xfId="0" applyFont="1" applyFill="1"/>
    <xf numFmtId="0" fontId="6" fillId="3" borderId="0" xfId="0" applyFont="1" applyFill="1" applyAlignment="1">
      <alignment horizontal="left"/>
    </xf>
    <xf numFmtId="166" fontId="6" fillId="3" borderId="0" xfId="0" applyNumberFormat="1" applyFont="1" applyFill="1" applyAlignment="1">
      <alignment horizontal="left"/>
    </xf>
    <xf numFmtId="17" fontId="6" fillId="3" borderId="0" xfId="0" applyNumberFormat="1" applyFont="1" applyFill="1" applyAlignment="1">
      <alignment horizontal="left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" fontId="6" fillId="3" borderId="8" xfId="0" applyNumberFormat="1" applyFont="1" applyFill="1" applyBorder="1" applyAlignment="1">
      <alignment horizontal="center" vertical="center" wrapText="1"/>
    </xf>
    <xf numFmtId="0" fontId="0" fillId="3" borderId="6" xfId="0" applyFill="1" applyBorder="1"/>
    <xf numFmtId="164" fontId="7" fillId="3" borderId="5" xfId="0" applyNumberFormat="1" applyFont="1" applyFill="1" applyBorder="1"/>
    <xf numFmtId="165" fontId="2" fillId="3" borderId="0" xfId="1" applyFont="1" applyFill="1" applyBorder="1"/>
    <xf numFmtId="164" fontId="7" fillId="3" borderId="7" xfId="0" applyNumberFormat="1" applyFont="1" applyFill="1" applyBorder="1"/>
    <xf numFmtId="165" fontId="2" fillId="3" borderId="10" xfId="1" applyFont="1" applyFill="1" applyBorder="1"/>
    <xf numFmtId="0" fontId="0" fillId="3" borderId="10" xfId="0" applyFill="1" applyBorder="1"/>
    <xf numFmtId="0" fontId="0" fillId="3" borderId="9" xfId="0" applyFill="1" applyBorder="1"/>
    <xf numFmtId="0" fontId="6" fillId="3" borderId="9" xfId="0" applyFont="1" applyFill="1" applyBorder="1" applyAlignment="1">
      <alignment horizontal="left" indent="1"/>
    </xf>
    <xf numFmtId="164" fontId="9" fillId="3" borderId="1" xfId="0" applyNumberFormat="1" applyFont="1" applyFill="1" applyBorder="1"/>
    <xf numFmtId="3" fontId="2" fillId="3" borderId="0" xfId="0" applyNumberFormat="1" applyFont="1" applyFill="1"/>
    <xf numFmtId="0" fontId="6" fillId="3" borderId="0" xfId="0" applyFont="1" applyFill="1" applyAlignment="1">
      <alignment horizontal="left" indent="1"/>
    </xf>
    <xf numFmtId="3" fontId="0" fillId="3" borderId="0" xfId="0" applyNumberFormat="1" applyFill="1"/>
    <xf numFmtId="164" fontId="7" fillId="3" borderId="8" xfId="0" applyNumberFormat="1" applyFont="1" applyFill="1" applyBorder="1"/>
    <xf numFmtId="165" fontId="2" fillId="3" borderId="0" xfId="1" applyFont="1" applyFill="1"/>
    <xf numFmtId="3" fontId="0" fillId="3" borderId="0" xfId="0" applyNumberFormat="1" applyFill="1" applyAlignment="1">
      <alignment vertical="center"/>
    </xf>
    <xf numFmtId="0" fontId="6" fillId="3" borderId="0" xfId="0" applyFont="1" applyFill="1"/>
    <xf numFmtId="3" fontId="6" fillId="3" borderId="5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" fontId="0" fillId="5" borderId="8" xfId="0" applyNumberFormat="1" applyFill="1" applyBorder="1"/>
    <xf numFmtId="3" fontId="0" fillId="3" borderId="8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3" fontId="6" fillId="3" borderId="0" xfId="0" applyNumberFormat="1" applyFont="1" applyFill="1"/>
    <xf numFmtId="3" fontId="6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vertical="center"/>
    </xf>
  </cellXfs>
  <cellStyles count="5">
    <cellStyle name="Millares [0]" xfId="1" builtinId="6"/>
    <cellStyle name="Moneda [0]" xfId="2" builtinId="7"/>
    <cellStyle name="Normal" xfId="0" builtinId="0"/>
    <cellStyle name="Normal 3" xfId="4" xr:uid="{553F6417-2463-4225-9704-978270462E35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BCD\002_Cargos_Tarifarios\2025\03%20Marzo\Def\Ajustes%20y%20recargos%202503_def.xlsm" TargetMode="External"/><Relationship Id="rId1" Type="http://schemas.openxmlformats.org/officeDocument/2006/relationships/externalLinkPath" Target="Ajustes%20y%20recargos%202503_d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ada AR"/>
      <sheetName val="Entrada TD"/>
      <sheetName val="Entrada CDRGL"/>
      <sheetName val="Entrada 7TRAN"/>
      <sheetName val="Reliquidación TD"/>
      <sheetName val="CUADRO DE PAGO TD"/>
      <sheetName val="Reliquidación AR"/>
      <sheetName val="CUADRO DE PAGO AR"/>
      <sheetName val="Reliquidación CD RGL"/>
      <sheetName val="CUADRO DE PAGO CD RGL"/>
      <sheetName val="Reliquidación 7TRAN"/>
      <sheetName val="CUADRO DE PAGO 7TRAN"/>
    </sheetNames>
    <definedNames>
      <definedName name="CrearLibroAR"/>
      <definedName name="RescataDatos"/>
      <definedName name="RescataDatos_7TRAN"/>
      <definedName name="RescataDatos_CDRGL"/>
      <definedName name="RescataDatos_T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AE6B-EA00-405D-8E61-CC4E71C33167}">
  <sheetPr codeName="Hoja8">
    <tabColor theme="0"/>
  </sheetPr>
  <dimension ref="B2:N45"/>
  <sheetViews>
    <sheetView showGridLines="0" tabSelected="1" zoomScale="85" zoomScaleNormal="85" workbookViewId="0"/>
  </sheetViews>
  <sheetFormatPr baseColWidth="10" defaultRowHeight="12.75" x14ac:dyDescent="0.2"/>
  <cols>
    <col min="2" max="2" width="3.42578125" customWidth="1"/>
    <col min="3" max="3" width="16.140625" customWidth="1"/>
    <col min="4" max="4" width="49.5703125" bestFit="1" customWidth="1"/>
    <col min="5" max="5" width="16.7109375" customWidth="1"/>
    <col min="6" max="6" width="12.85546875" customWidth="1"/>
    <col min="7" max="7" width="15.85546875" customWidth="1"/>
    <col min="8" max="9" width="13.140625" customWidth="1"/>
    <col min="10" max="10" width="13.5703125" bestFit="1" customWidth="1"/>
    <col min="11" max="11" width="17.85546875" customWidth="1"/>
    <col min="12" max="12" width="18.42578125" customWidth="1"/>
    <col min="13" max="13" width="13.140625" customWidth="1"/>
    <col min="14" max="14" width="11.42578125" customWidth="1"/>
    <col min="15" max="15" width="11.85546875" bestFit="1" customWidth="1"/>
    <col min="16" max="16" width="13.28515625" customWidth="1"/>
    <col min="17" max="17" width="11.5703125" customWidth="1"/>
    <col min="18" max="18" width="9.7109375" bestFit="1" customWidth="1"/>
    <col min="19" max="19" width="13.28515625" bestFit="1" customWidth="1"/>
  </cols>
  <sheetData>
    <row r="2" spans="2:14" x14ac:dyDescent="0.2">
      <c r="B2" s="1" t="s">
        <v>0</v>
      </c>
      <c r="D2" s="1"/>
      <c r="E2" s="2" t="s">
        <v>1</v>
      </c>
      <c r="F2" s="2"/>
      <c r="G2" s="3" t="s">
        <v>2</v>
      </c>
    </row>
    <row r="3" spans="2:14" x14ac:dyDescent="0.2">
      <c r="B3" s="4">
        <v>45717</v>
      </c>
      <c r="C3" s="4"/>
      <c r="D3" s="5"/>
    </row>
    <row r="4" spans="2:14" x14ac:dyDescent="0.2">
      <c r="B4" s="1"/>
    </row>
    <row r="6" spans="2:14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</row>
    <row r="7" spans="2:14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</row>
    <row r="8" spans="2:14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resumen_montos_facturados_TD_AR_CDpRGL_2503def.xlsx</v>
      </c>
      <c r="E8" s="8" t="s">
        <v>14</v>
      </c>
      <c r="F8" s="10">
        <v>5156215</v>
      </c>
      <c r="G8" s="10">
        <v>3378140</v>
      </c>
      <c r="H8" s="10">
        <v>178359</v>
      </c>
      <c r="I8" s="10">
        <v>51193</v>
      </c>
      <c r="J8" s="10">
        <v>-37709062.67653048</v>
      </c>
      <c r="K8" s="11"/>
      <c r="L8" s="11"/>
      <c r="M8" s="12"/>
      <c r="N8" s="12"/>
    </row>
    <row r="9" spans="2:14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resumen_montos_facturados_TD_AR_CDpRGL_2503def.xlsx</v>
      </c>
      <c r="E9" s="8" t="s">
        <v>15</v>
      </c>
      <c r="F9" s="10">
        <v>1096154</v>
      </c>
      <c r="G9" s="10">
        <v>4377593</v>
      </c>
      <c r="H9" s="10">
        <v>1652</v>
      </c>
      <c r="I9" s="10">
        <v>29639</v>
      </c>
      <c r="J9" s="10">
        <v>-35343846.864618599</v>
      </c>
      <c r="K9" s="11"/>
      <c r="L9" s="11"/>
      <c r="M9" s="12"/>
      <c r="N9" s="12"/>
    </row>
    <row r="10" spans="2:14" x14ac:dyDescent="0.2">
      <c r="B10" s="8">
        <v>3</v>
      </c>
      <c r="C10" s="8" t="s">
        <v>16</v>
      </c>
      <c r="D10" s="9" t="str">
        <f t="shared" si="0"/>
        <v>resumen_montos_facturados_TD_AR_CDpRGL_2503def.xlsx</v>
      </c>
      <c r="E10" s="8" t="s">
        <v>16</v>
      </c>
      <c r="F10" s="10">
        <v>1794659.36</v>
      </c>
      <c r="G10" s="10">
        <v>5969691.0329999998</v>
      </c>
      <c r="H10" s="10">
        <v>0</v>
      </c>
      <c r="I10" s="10">
        <v>24727</v>
      </c>
      <c r="J10" s="10">
        <v>625806.18974268413</v>
      </c>
      <c r="K10" s="11"/>
      <c r="L10" s="11"/>
      <c r="M10" s="12"/>
      <c r="N10" s="12"/>
    </row>
    <row r="11" spans="2:14" x14ac:dyDescent="0.2">
      <c r="B11" s="8">
        <v>4</v>
      </c>
      <c r="C11" s="8" t="s">
        <v>17</v>
      </c>
      <c r="D11" s="9" t="str">
        <f t="shared" si="0"/>
        <v>resumen_montos_facturados_TD_AR_CDpRGL_2503def.xlsx</v>
      </c>
      <c r="E11" s="8" t="s">
        <v>17</v>
      </c>
      <c r="F11" s="10">
        <v>484040</v>
      </c>
      <c r="G11" s="10">
        <v>1275896</v>
      </c>
      <c r="H11" s="10">
        <v>0</v>
      </c>
      <c r="I11" s="10">
        <v>0</v>
      </c>
      <c r="J11" s="10">
        <v>-938447.01956159051</v>
      </c>
      <c r="K11" s="11"/>
      <c r="L11" s="11"/>
      <c r="M11" s="12"/>
      <c r="N11" s="12"/>
    </row>
    <row r="12" spans="2:14" ht="12" customHeight="1" x14ac:dyDescent="0.2">
      <c r="B12" s="8">
        <v>5</v>
      </c>
      <c r="C12" s="8" t="s">
        <v>18</v>
      </c>
      <c r="D12" s="9" t="str">
        <f t="shared" si="0"/>
        <v>resumen_montos_facturados_TD_AR_CDpRGL_2503def.xlsx</v>
      </c>
      <c r="E12" s="8" t="s">
        <v>18</v>
      </c>
      <c r="F12" s="10">
        <v>205758641.80500001</v>
      </c>
      <c r="G12" s="10">
        <v>428742887.85100001</v>
      </c>
      <c r="H12" s="10">
        <v>4367319.7060000002</v>
      </c>
      <c r="I12" s="10">
        <v>1666562.73</v>
      </c>
      <c r="J12" s="10">
        <v>41731545.178234607</v>
      </c>
      <c r="K12" s="11"/>
      <c r="L12" s="11"/>
      <c r="M12" s="12"/>
      <c r="N12" s="12"/>
    </row>
    <row r="13" spans="2:14" x14ac:dyDescent="0.2">
      <c r="B13" s="8">
        <v>6</v>
      </c>
      <c r="C13" s="8" t="s">
        <v>19</v>
      </c>
      <c r="D13" s="9" t="str">
        <f t="shared" si="0"/>
        <v>resumen_montos_facturados_TD_AR_CDpRGL_2503def.xlsx</v>
      </c>
      <c r="E13" s="8" t="s">
        <v>20</v>
      </c>
      <c r="F13" s="10">
        <v>259592.5</v>
      </c>
      <c r="G13" s="10">
        <v>880990.46799999999</v>
      </c>
      <c r="H13" s="10">
        <v>0</v>
      </c>
      <c r="I13" s="10">
        <v>0</v>
      </c>
      <c r="J13" s="10">
        <v>230592.18838842559</v>
      </c>
      <c r="K13" s="11"/>
      <c r="L13" s="11"/>
      <c r="M13" s="12"/>
      <c r="N13" s="12"/>
    </row>
    <row r="14" spans="2:14" x14ac:dyDescent="0.2">
      <c r="B14" s="8">
        <v>7</v>
      </c>
      <c r="C14" s="8" t="s">
        <v>21</v>
      </c>
      <c r="D14" s="9" t="str">
        <f t="shared" si="0"/>
        <v>resumen_montos_facturados_TD_AR_CDpRGL_2503def.xlsx</v>
      </c>
      <c r="E14" s="8" t="s">
        <v>21</v>
      </c>
      <c r="F14" s="10">
        <v>12632883.048</v>
      </c>
      <c r="G14" s="10">
        <v>18870597.596999999</v>
      </c>
      <c r="H14" s="10">
        <v>307080.18300000002</v>
      </c>
      <c r="I14" s="10">
        <v>51796.796000000002</v>
      </c>
      <c r="J14" s="10">
        <v>2711682.4210915659</v>
      </c>
      <c r="K14" s="11"/>
      <c r="L14" s="11"/>
      <c r="M14" s="12"/>
      <c r="N14" s="12"/>
    </row>
    <row r="15" spans="2:14" x14ac:dyDescent="0.2">
      <c r="B15" s="8">
        <v>8</v>
      </c>
      <c r="C15" s="8" t="s">
        <v>22</v>
      </c>
      <c r="D15" s="9" t="str">
        <f t="shared" si="0"/>
        <v>resumen_montos_facturados_TD_AR_CDpRGL_2503def.xlsx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4" x14ac:dyDescent="0.2">
      <c r="B16" s="8">
        <v>9</v>
      </c>
      <c r="C16" s="8" t="s">
        <v>23</v>
      </c>
      <c r="D16" s="9" t="str">
        <f t="shared" si="0"/>
        <v>resumen_montos_facturados_TD_AR_CDpRGL_2503def.xlsx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resumen_montos_facturados_TD_AR_CDpRGL_2503def.xlsx</v>
      </c>
      <c r="E17" s="8" t="s">
        <v>24</v>
      </c>
      <c r="F17" s="10">
        <v>105789477.837</v>
      </c>
      <c r="G17" s="10">
        <v>550466328.64954495</v>
      </c>
      <c r="H17" s="10">
        <v>873990.5</v>
      </c>
      <c r="I17" s="10">
        <v>1595797.621</v>
      </c>
      <c r="J17" s="10">
        <v>69418320.23625277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resumen_montos_facturados_TD_AR_CDpRGL_2503def.xlsx</v>
      </c>
      <c r="E18" s="8" t="s">
        <v>25</v>
      </c>
      <c r="F18" s="10">
        <v>46012.999999999993</v>
      </c>
      <c r="G18" s="10">
        <v>291810</v>
      </c>
      <c r="H18" s="10">
        <v>0</v>
      </c>
      <c r="I18" s="10">
        <v>2047</v>
      </c>
      <c r="J18" s="10">
        <v>284879.48574151768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resumen_montos_facturados_TD_AR_CDpRGL_2503def.xlsx</v>
      </c>
      <c r="E19" s="8" t="s">
        <v>26</v>
      </c>
      <c r="F19" s="10">
        <v>37003444.303000003</v>
      </c>
      <c r="G19" s="10">
        <v>66992934.467</v>
      </c>
      <c r="H19" s="10">
        <v>990964.64199999999</v>
      </c>
      <c r="I19" s="10">
        <v>216428.342</v>
      </c>
      <c r="J19" s="10">
        <v>6042482.2017520443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resumen_montos_facturados_TD_AR_CDpRGL_2503def.xlsx</v>
      </c>
      <c r="E20" s="8" t="s">
        <v>27</v>
      </c>
      <c r="F20" s="10">
        <v>4648902.6469999999</v>
      </c>
      <c r="G20" s="10">
        <v>16498351.562000001</v>
      </c>
      <c r="H20" s="10">
        <v>0</v>
      </c>
      <c r="I20" s="10">
        <v>31365.406999999999</v>
      </c>
      <c r="J20" s="10">
        <v>819453.25412159471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resumen_montos_facturados_TD_AR_CDpRGL_2503def.xlsx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resumen_montos_facturados_TD_AR_CDpRGL_2503def.xlsx</v>
      </c>
      <c r="E22" s="8" t="s">
        <v>29</v>
      </c>
      <c r="F22" s="10">
        <v>2529575</v>
      </c>
      <c r="G22" s="10">
        <v>6943345</v>
      </c>
      <c r="H22" s="10">
        <v>512</v>
      </c>
      <c r="I22" s="10">
        <v>20437</v>
      </c>
      <c r="J22" s="10">
        <v>-70494562.454550624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resumen_montos_facturados_TD_AR_CDpRGL_2503def.xlsx</v>
      </c>
      <c r="E23" s="8" t="s">
        <v>30</v>
      </c>
      <c r="F23" s="10">
        <v>7634817</v>
      </c>
      <c r="G23" s="10">
        <v>15346168</v>
      </c>
      <c r="H23" s="10">
        <v>563296</v>
      </c>
      <c r="I23" s="10">
        <v>144432</v>
      </c>
      <c r="J23" s="10">
        <v>1777228.499098748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resumen_montos_facturados_TD_AR_CDpRGL_2503def.xlsx</v>
      </c>
      <c r="E24" s="8" t="s">
        <v>31</v>
      </c>
      <c r="F24" s="10">
        <v>1710055</v>
      </c>
      <c r="G24" s="10">
        <v>12801357</v>
      </c>
      <c r="H24" s="10">
        <v>23</v>
      </c>
      <c r="I24" s="10">
        <v>75415</v>
      </c>
      <c r="J24" s="10">
        <v>1094271.2607609311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resumen_montos_facturados_TD_AR_CDpRGL_2503def.xlsx</v>
      </c>
      <c r="E25" s="8" t="s">
        <v>32</v>
      </c>
      <c r="F25" s="10">
        <v>428150</v>
      </c>
      <c r="G25" s="10">
        <v>2819733</v>
      </c>
      <c r="H25" s="10">
        <v>224458</v>
      </c>
      <c r="I25" s="10">
        <v>18645</v>
      </c>
      <c r="J25" s="10">
        <v>-18103894.40117513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resumen_montos_facturados_TD_AR_CDpRGL_2503def.xlsx</v>
      </c>
      <c r="E26" s="8" t="s">
        <v>33</v>
      </c>
      <c r="F26" s="10">
        <v>1207749</v>
      </c>
      <c r="G26" s="10">
        <v>1958483</v>
      </c>
      <c r="H26" s="10">
        <v>123959</v>
      </c>
      <c r="I26" s="10">
        <v>14811</v>
      </c>
      <c r="J26" s="10">
        <v>-15377182.991675191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resumen_montos_facturados_TD_AR_CDpRGL_2503def.xlsx</v>
      </c>
      <c r="E27" s="8" t="s">
        <v>34</v>
      </c>
      <c r="F27" s="10">
        <v>4644915</v>
      </c>
      <c r="G27" s="10">
        <v>8092754</v>
      </c>
      <c r="H27" s="10">
        <v>413737</v>
      </c>
      <c r="I27" s="10">
        <v>95593</v>
      </c>
      <c r="J27" s="10">
        <v>956717.76296210685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resumen_montos_facturados_TD_AR_CDpRGL_2503def.xlsx</v>
      </c>
      <c r="E28" s="8" t="s">
        <v>35</v>
      </c>
      <c r="F28" s="10">
        <v>23228606.84</v>
      </c>
      <c r="G28" s="10">
        <v>58052228.479999997</v>
      </c>
      <c r="H28" s="10">
        <v>344292.01699999999</v>
      </c>
      <c r="I28" s="10">
        <v>182052.5</v>
      </c>
      <c r="J28" s="10">
        <v>7213054.6789037082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resumen_montos_facturados_TD_AR_CDpRGL_2503def.xlsx</v>
      </c>
      <c r="E29" s="8" t="s">
        <v>36</v>
      </c>
      <c r="F29" s="10">
        <v>10434754.33</v>
      </c>
      <c r="G29" s="10">
        <v>4082568.36</v>
      </c>
      <c r="H29" s="10">
        <v>204604.52</v>
      </c>
      <c r="I29" s="10">
        <v>19249</v>
      </c>
      <c r="J29" s="10">
        <v>1546112.9425649079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resumen_montos_facturados_TD_AR_CDpRGL_2503def.xlsx</v>
      </c>
      <c r="E30" s="8" t="s">
        <v>37</v>
      </c>
      <c r="F30" s="10">
        <v>40664118.969999999</v>
      </c>
      <c r="G30" s="10">
        <v>90559490.280000001</v>
      </c>
      <c r="H30" s="10">
        <v>240297.55</v>
      </c>
      <c r="I30" s="10">
        <v>211339.80799999999</v>
      </c>
      <c r="J30" s="10">
        <v>9704782.2539425977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resumen_montos_facturados_TD_AR_CDpRGL_2503def.xlsx</v>
      </c>
      <c r="E31" s="8" t="s">
        <v>38</v>
      </c>
      <c r="F31" s="10">
        <v>2219270</v>
      </c>
      <c r="G31" s="10">
        <v>2867470</v>
      </c>
      <c r="H31" s="10">
        <v>37197</v>
      </c>
      <c r="I31" s="10">
        <v>19109</v>
      </c>
      <c r="J31" s="10">
        <v>391094.21267100278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resumen_montos_facturados_TD_AR_CDpRGL_2503def.xlsx</v>
      </c>
      <c r="E32" s="8" t="s">
        <v>39</v>
      </c>
      <c r="F32" s="10">
        <v>43366931.2927</v>
      </c>
      <c r="G32" s="10">
        <v>118633381.88410001</v>
      </c>
      <c r="H32" s="10">
        <v>2154770.7999999998</v>
      </c>
      <c r="I32" s="10">
        <v>739940.58109999995</v>
      </c>
      <c r="J32" s="10">
        <v>13586132.142554721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resumen_montos_facturados_TD_AR_CDpRGL_2503def.xlsx</v>
      </c>
      <c r="E33" s="8" t="s">
        <v>40</v>
      </c>
      <c r="F33" s="10">
        <v>1599904</v>
      </c>
      <c r="G33" s="10">
        <v>2793061.7</v>
      </c>
      <c r="H33" s="10">
        <v>40216</v>
      </c>
      <c r="I33" s="10">
        <v>90763</v>
      </c>
      <c r="J33" s="10">
        <v>342746.2793799878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resumen_montos_facturados_TD_AR_CDpRGL_2503def.xlsx</v>
      </c>
      <c r="E34" s="8" t="s">
        <v>41</v>
      </c>
      <c r="F34" s="10">
        <v>1328047.5</v>
      </c>
      <c r="G34" s="10">
        <v>9654550.4544999991</v>
      </c>
      <c r="H34" s="10">
        <v>4520</v>
      </c>
      <c r="I34" s="10">
        <v>40135.199999999997</v>
      </c>
      <c r="J34" s="10">
        <v>889181.8492457231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resumen_montos_facturados_TD_AR_CDpRGL_2503def.xlsx</v>
      </c>
      <c r="E35" s="8" t="s">
        <v>42</v>
      </c>
      <c r="F35" s="10">
        <v>5920564.7000000002</v>
      </c>
      <c r="G35" s="10">
        <v>6370444.5549999997</v>
      </c>
      <c r="H35" s="10">
        <v>251144</v>
      </c>
      <c r="I35" s="10">
        <v>28672.674900000002</v>
      </c>
      <c r="J35" s="10">
        <v>1255346.5671068041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resumen_montos_facturados_TD_AR_CDpRGL_2503def.xlsx</v>
      </c>
      <c r="E36" s="8" t="s">
        <v>43</v>
      </c>
      <c r="F36" s="10">
        <v>11293541.5</v>
      </c>
      <c r="G36" s="10">
        <v>5362850.2964000003</v>
      </c>
      <c r="H36" s="10">
        <v>339324</v>
      </c>
      <c r="I36" s="10">
        <v>77313.899999999994</v>
      </c>
      <c r="J36" s="10">
        <v>2818059.4739363231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resumen_montos_facturados_TD_AR_CDpRGL_2503def.xlsx</v>
      </c>
      <c r="E37" s="8" t="s">
        <v>45</v>
      </c>
      <c r="F37" s="10">
        <v>435933.99999999988</v>
      </c>
      <c r="G37" s="10">
        <v>919290</v>
      </c>
      <c r="H37" s="10">
        <v>43245</v>
      </c>
      <c r="I37" s="10">
        <v>12427</v>
      </c>
      <c r="J37" s="10">
        <v>107176.09570784921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resumen_montos_facturados_TD_AR_CDpRGL_2503def.xlsx</v>
      </c>
      <c r="E38" s="8" t="s">
        <v>46</v>
      </c>
      <c r="F38" s="10">
        <v>4512098.3830000004</v>
      </c>
      <c r="G38" s="10">
        <v>17811131.941</v>
      </c>
      <c r="H38" s="10">
        <v>13458</v>
      </c>
      <c r="I38" s="10">
        <v>42244.014000000003</v>
      </c>
      <c r="J38" s="10">
        <v>1762116.569537505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resumen_montos_facturados_TD_AR_CDpRGL_2503def.xlsx</v>
      </c>
      <c r="E39" s="8" t="s">
        <v>47</v>
      </c>
      <c r="F39" s="10">
        <v>6283946.3530000001</v>
      </c>
      <c r="G39" s="10">
        <v>27286382.329</v>
      </c>
      <c r="H39" s="10">
        <v>12570.960999999999</v>
      </c>
      <c r="I39" s="10">
        <v>20482.008000000002</v>
      </c>
      <c r="J39" s="10">
        <v>3016698.8873669631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resumen_montos_facturados_TD_AR_CDpRGL_2503def.xlsx</v>
      </c>
      <c r="E40" s="8" t="s">
        <v>48</v>
      </c>
      <c r="F40" s="10">
        <v>14651117.562000001</v>
      </c>
      <c r="G40" s="10">
        <v>47142862.340291329</v>
      </c>
      <c r="H40" s="10">
        <v>45278.1</v>
      </c>
      <c r="I40" s="10">
        <v>62467.421000000002</v>
      </c>
      <c r="J40" s="10">
        <v>6658323.5515546454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resumen_montos_facturados_TD_AR_CDpRGL_2503def.xlsx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resumen_montos_facturados_TD_AR_CDpRGL_2503def.xlsx</v>
      </c>
      <c r="E42" s="8" t="s">
        <v>50</v>
      </c>
      <c r="F42" s="10">
        <v>0</v>
      </c>
      <c r="G42" s="10">
        <v>11968</v>
      </c>
      <c r="H42" s="10">
        <v>0</v>
      </c>
      <c r="I42" s="10">
        <v>0</v>
      </c>
      <c r="J42" s="10">
        <v>989.94161727999995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resumen_montos_facturados_TD_AR_CDpRGL_2503def.xlsx</v>
      </c>
      <c r="E43" s="8" t="s">
        <v>51</v>
      </c>
      <c r="F43" s="10">
        <v>32785.800000000003</v>
      </c>
      <c r="G43" s="10">
        <v>63849.4</v>
      </c>
      <c r="H43" s="10">
        <v>0</v>
      </c>
      <c r="I43" s="10">
        <v>0</v>
      </c>
      <c r="J43" s="10">
        <v>7757.7998605843677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558796905.73070002</v>
      </c>
      <c r="G44" s="16">
        <f>SUM(G8:G43)</f>
        <v>1537318590.6478362</v>
      </c>
      <c r="H44" s="16">
        <f>SUM(H8:H43)</f>
        <v>11776268.979</v>
      </c>
      <c r="I44" s="16">
        <f>SUM(I8:I43)</f>
        <v>5585086.0030000014</v>
      </c>
      <c r="J44" s="16">
        <f>SUM(J8:J43)</f>
        <v>-2974444.4840140087</v>
      </c>
      <c r="K44" s="11"/>
      <c r="L44" s="11"/>
      <c r="M44" s="12"/>
      <c r="N44" s="12"/>
    </row>
    <row r="45" spans="2:14" x14ac:dyDescent="0.2">
      <c r="L45" s="11"/>
      <c r="M45" s="12"/>
      <c r="N45" s="12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794C0FD4-0074-42FA-A9E4-334C4A890F64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C746-584B-4266-B75D-81DD88B41D6E}">
  <sheetPr codeName="Hoja5">
    <tabColor theme="0"/>
  </sheetPr>
  <dimension ref="B2:N45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6.5703125" customWidth="1"/>
    <col min="6" max="7" width="13.140625" customWidth="1"/>
    <col min="8" max="8" width="14.5703125" customWidth="1"/>
    <col min="9" max="9" width="11.42578125" customWidth="1"/>
    <col min="10" max="10" width="14" customWidth="1"/>
  </cols>
  <sheetData>
    <row r="2" spans="2:14" x14ac:dyDescent="0.2">
      <c r="B2" s="1" t="s">
        <v>0</v>
      </c>
      <c r="D2" s="1"/>
      <c r="E2" s="2" t="s">
        <v>1</v>
      </c>
      <c r="F2" s="2"/>
      <c r="G2" s="3" t="s">
        <v>2</v>
      </c>
    </row>
    <row r="3" spans="2:14" x14ac:dyDescent="0.2">
      <c r="B3" s="4">
        <v>45717</v>
      </c>
      <c r="C3" s="4"/>
      <c r="D3" s="5"/>
    </row>
    <row r="4" spans="2:14" x14ac:dyDescent="0.2">
      <c r="B4" s="1"/>
    </row>
    <row r="6" spans="2:14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53</v>
      </c>
    </row>
    <row r="7" spans="2:14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M7" s="17"/>
      <c r="N7" s="17"/>
    </row>
    <row r="8" spans="2:14" x14ac:dyDescent="0.2">
      <c r="B8" s="8">
        <v>1</v>
      </c>
      <c r="C8" s="8" t="s">
        <v>14</v>
      </c>
      <c r="D8" s="9" t="s">
        <v>97</v>
      </c>
      <c r="E8" s="8" t="s">
        <v>14</v>
      </c>
      <c r="F8" s="10">
        <v>5156215</v>
      </c>
      <c r="G8" s="10">
        <v>3378140</v>
      </c>
      <c r="H8" s="10">
        <v>178359</v>
      </c>
      <c r="I8" s="10">
        <v>51193</v>
      </c>
      <c r="J8" s="10">
        <v>0</v>
      </c>
      <c r="K8" s="11"/>
      <c r="L8" s="12"/>
      <c r="M8" s="12"/>
    </row>
    <row r="9" spans="2:14" x14ac:dyDescent="0.2">
      <c r="B9" s="8">
        <v>2</v>
      </c>
      <c r="C9" s="8" t="s">
        <v>15</v>
      </c>
      <c r="D9" s="9" t="s">
        <v>97</v>
      </c>
      <c r="E9" s="8" t="s">
        <v>15</v>
      </c>
      <c r="F9" s="10">
        <v>1096154</v>
      </c>
      <c r="G9" s="10">
        <v>4377593</v>
      </c>
      <c r="H9" s="10">
        <v>1652</v>
      </c>
      <c r="I9" s="10">
        <v>29639</v>
      </c>
      <c r="J9" s="10">
        <v>0</v>
      </c>
      <c r="K9" s="11"/>
      <c r="L9" s="12"/>
      <c r="M9" s="12"/>
    </row>
    <row r="10" spans="2:14" x14ac:dyDescent="0.2">
      <c r="B10" s="8">
        <v>3</v>
      </c>
      <c r="C10" s="8" t="s">
        <v>16</v>
      </c>
      <c r="D10" s="9" t="s">
        <v>97</v>
      </c>
      <c r="E10" s="8" t="s">
        <v>16</v>
      </c>
      <c r="F10" s="10">
        <v>1794659.36</v>
      </c>
      <c r="G10" s="10">
        <v>5969691.0329999998</v>
      </c>
      <c r="H10" s="10">
        <v>0</v>
      </c>
      <c r="I10" s="10">
        <v>24727</v>
      </c>
      <c r="J10" s="10">
        <v>0</v>
      </c>
      <c r="K10" s="11"/>
      <c r="L10" s="12"/>
      <c r="M10" s="12"/>
    </row>
    <row r="11" spans="2:14" x14ac:dyDescent="0.2">
      <c r="B11" s="8">
        <v>4</v>
      </c>
      <c r="C11" s="8" t="s">
        <v>17</v>
      </c>
      <c r="D11" s="9" t="s">
        <v>97</v>
      </c>
      <c r="E11" s="8" t="s">
        <v>17</v>
      </c>
      <c r="F11" s="10">
        <v>484040</v>
      </c>
      <c r="G11" s="10">
        <v>1275896</v>
      </c>
      <c r="H11" s="10">
        <v>0</v>
      </c>
      <c r="I11" s="10">
        <v>0</v>
      </c>
      <c r="J11" s="10">
        <v>0</v>
      </c>
      <c r="K11" s="11"/>
      <c r="L11" s="12"/>
      <c r="M11" s="12"/>
    </row>
    <row r="12" spans="2:14" x14ac:dyDescent="0.2">
      <c r="B12" s="8">
        <v>5</v>
      </c>
      <c r="C12" s="8" t="s">
        <v>18</v>
      </c>
      <c r="D12" s="9" t="s">
        <v>97</v>
      </c>
      <c r="E12" s="8" t="s">
        <v>18</v>
      </c>
      <c r="F12" s="10">
        <v>205758641.80500001</v>
      </c>
      <c r="G12" s="10">
        <v>428742887.85100001</v>
      </c>
      <c r="H12" s="10">
        <v>4367319.7060000002</v>
      </c>
      <c r="I12" s="10">
        <v>1666562.73</v>
      </c>
      <c r="J12" s="10">
        <v>1419675.181072759</v>
      </c>
      <c r="K12" s="11"/>
      <c r="L12" s="12"/>
      <c r="M12" s="12"/>
    </row>
    <row r="13" spans="2:14" x14ac:dyDescent="0.2">
      <c r="B13" s="8">
        <v>6</v>
      </c>
      <c r="C13" s="8" t="s">
        <v>19</v>
      </c>
      <c r="D13" s="9" t="s">
        <v>97</v>
      </c>
      <c r="E13" s="8" t="s">
        <v>20</v>
      </c>
      <c r="F13" s="10">
        <v>259592.5</v>
      </c>
      <c r="G13" s="10">
        <v>880990.46799999999</v>
      </c>
      <c r="H13" s="10">
        <v>0</v>
      </c>
      <c r="I13" s="10">
        <v>0</v>
      </c>
      <c r="J13" s="10">
        <v>0</v>
      </c>
      <c r="K13" s="11"/>
      <c r="L13" s="12"/>
      <c r="M13" s="12"/>
    </row>
    <row r="14" spans="2:14" x14ac:dyDescent="0.2">
      <c r="B14" s="8">
        <v>7</v>
      </c>
      <c r="C14" s="8" t="s">
        <v>21</v>
      </c>
      <c r="D14" s="9" t="s">
        <v>97</v>
      </c>
      <c r="E14" s="8" t="s">
        <v>21</v>
      </c>
      <c r="F14" s="10">
        <v>12632883.048</v>
      </c>
      <c r="G14" s="10">
        <v>18870597.596999999</v>
      </c>
      <c r="H14" s="10">
        <v>307080.18300000002</v>
      </c>
      <c r="I14" s="10">
        <v>51796.796000000002</v>
      </c>
      <c r="J14" s="10">
        <v>-49109.571509007081</v>
      </c>
      <c r="K14" s="11"/>
      <c r="L14" s="12"/>
      <c r="M14" s="12"/>
    </row>
    <row r="15" spans="2:14" x14ac:dyDescent="0.2">
      <c r="B15" s="8">
        <v>8</v>
      </c>
      <c r="C15" s="8" t="s">
        <v>22</v>
      </c>
      <c r="D15" s="9" t="s">
        <v>97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2"/>
      <c r="M15" s="12"/>
    </row>
    <row r="16" spans="2:14" x14ac:dyDescent="0.2">
      <c r="B16" s="8">
        <v>9</v>
      </c>
      <c r="C16" s="8" t="s">
        <v>23</v>
      </c>
      <c r="D16" s="9" t="s">
        <v>97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2"/>
      <c r="M16" s="12"/>
    </row>
    <row r="17" spans="2:13" x14ac:dyDescent="0.2">
      <c r="B17" s="8">
        <v>10</v>
      </c>
      <c r="C17" s="8" t="s">
        <v>24</v>
      </c>
      <c r="D17" s="9" t="s">
        <v>97</v>
      </c>
      <c r="E17" s="8" t="s">
        <v>24</v>
      </c>
      <c r="F17" s="10">
        <v>105789477.837</v>
      </c>
      <c r="G17" s="10">
        <v>550466328.64954495</v>
      </c>
      <c r="H17" s="10">
        <v>873990.5</v>
      </c>
      <c r="I17" s="10">
        <v>1595797.621</v>
      </c>
      <c r="J17" s="10">
        <v>1001060.621706838</v>
      </c>
      <c r="K17" s="11"/>
      <c r="L17" s="12"/>
      <c r="M17" s="12"/>
    </row>
    <row r="18" spans="2:13" x14ac:dyDescent="0.2">
      <c r="B18" s="8">
        <v>11</v>
      </c>
      <c r="C18" s="8" t="s">
        <v>25</v>
      </c>
      <c r="D18" s="9" t="s">
        <v>97</v>
      </c>
      <c r="E18" s="8" t="s">
        <v>25</v>
      </c>
      <c r="F18" s="10">
        <v>46012.999999999993</v>
      </c>
      <c r="G18" s="10">
        <v>291810</v>
      </c>
      <c r="H18" s="10">
        <v>0</v>
      </c>
      <c r="I18" s="10">
        <v>2047</v>
      </c>
      <c r="J18" s="10">
        <v>0</v>
      </c>
      <c r="K18" s="11"/>
      <c r="L18" s="12"/>
      <c r="M18" s="12"/>
    </row>
    <row r="19" spans="2:13" x14ac:dyDescent="0.2">
      <c r="B19" s="8">
        <v>12</v>
      </c>
      <c r="C19" s="8" t="s">
        <v>26</v>
      </c>
      <c r="D19" s="9" t="s">
        <v>97</v>
      </c>
      <c r="E19" s="8" t="s">
        <v>26</v>
      </c>
      <c r="F19" s="10">
        <v>37003444.303000003</v>
      </c>
      <c r="G19" s="10">
        <v>66992934.467</v>
      </c>
      <c r="H19" s="10">
        <v>990964.64199999999</v>
      </c>
      <c r="I19" s="10">
        <v>216428.342</v>
      </c>
      <c r="J19" s="10">
        <v>-42654.48450184839</v>
      </c>
      <c r="K19" s="11"/>
      <c r="L19" s="12"/>
      <c r="M19" s="12"/>
    </row>
    <row r="20" spans="2:13" x14ac:dyDescent="0.2">
      <c r="B20" s="8">
        <v>13</v>
      </c>
      <c r="C20" s="8" t="s">
        <v>27</v>
      </c>
      <c r="D20" s="9" t="s">
        <v>97</v>
      </c>
      <c r="E20" s="8" t="s">
        <v>27</v>
      </c>
      <c r="F20" s="10">
        <v>4648902.6469999999</v>
      </c>
      <c r="G20" s="10">
        <v>16498351.562000001</v>
      </c>
      <c r="H20" s="10">
        <v>0</v>
      </c>
      <c r="I20" s="10">
        <v>31365.406999999999</v>
      </c>
      <c r="J20" s="10">
        <v>789.20907439692144</v>
      </c>
      <c r="K20" s="11"/>
      <c r="L20" s="12"/>
      <c r="M20" s="12"/>
    </row>
    <row r="21" spans="2:13" x14ac:dyDescent="0.2">
      <c r="B21" s="8">
        <v>14</v>
      </c>
      <c r="C21" s="8" t="s">
        <v>28</v>
      </c>
      <c r="D21" s="9" t="s">
        <v>97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2"/>
      <c r="M21" s="12"/>
    </row>
    <row r="22" spans="2:13" x14ac:dyDescent="0.2">
      <c r="B22" s="8">
        <v>15</v>
      </c>
      <c r="C22" s="8" t="s">
        <v>29</v>
      </c>
      <c r="D22" s="9" t="s">
        <v>97</v>
      </c>
      <c r="E22" s="8" t="s">
        <v>29</v>
      </c>
      <c r="F22" s="10">
        <v>2529575</v>
      </c>
      <c r="G22" s="10">
        <v>6943345</v>
      </c>
      <c r="H22" s="10">
        <v>512</v>
      </c>
      <c r="I22" s="10">
        <v>20437</v>
      </c>
      <c r="J22" s="10">
        <v>0</v>
      </c>
      <c r="K22" s="11"/>
      <c r="L22" s="12"/>
      <c r="M22" s="12"/>
    </row>
    <row r="23" spans="2:13" x14ac:dyDescent="0.2">
      <c r="B23" s="8">
        <v>16</v>
      </c>
      <c r="C23" s="8" t="s">
        <v>30</v>
      </c>
      <c r="D23" s="9" t="s">
        <v>97</v>
      </c>
      <c r="E23" s="8" t="s">
        <v>30</v>
      </c>
      <c r="F23" s="10">
        <v>7634817</v>
      </c>
      <c r="G23" s="10">
        <v>15346168</v>
      </c>
      <c r="H23" s="10">
        <v>563296</v>
      </c>
      <c r="I23" s="10">
        <v>144432</v>
      </c>
      <c r="J23" s="10">
        <v>0</v>
      </c>
      <c r="K23" s="11"/>
      <c r="L23" s="12"/>
      <c r="M23" s="12"/>
    </row>
    <row r="24" spans="2:13" x14ac:dyDescent="0.2">
      <c r="B24" s="8">
        <v>17</v>
      </c>
      <c r="C24" s="8" t="s">
        <v>31</v>
      </c>
      <c r="D24" s="9" t="s">
        <v>97</v>
      </c>
      <c r="E24" s="8" t="s">
        <v>31</v>
      </c>
      <c r="F24" s="10">
        <v>1710055</v>
      </c>
      <c r="G24" s="10">
        <v>12801357</v>
      </c>
      <c r="H24" s="10">
        <v>23</v>
      </c>
      <c r="I24" s="10">
        <v>75415</v>
      </c>
      <c r="J24" s="10">
        <v>0</v>
      </c>
      <c r="K24" s="11"/>
      <c r="L24" s="12"/>
      <c r="M24" s="12"/>
    </row>
    <row r="25" spans="2:13" x14ac:dyDescent="0.2">
      <c r="B25" s="8">
        <v>18</v>
      </c>
      <c r="C25" s="8" t="s">
        <v>32</v>
      </c>
      <c r="D25" s="9" t="s">
        <v>97</v>
      </c>
      <c r="E25" s="8" t="s">
        <v>32</v>
      </c>
      <c r="F25" s="10">
        <v>428150</v>
      </c>
      <c r="G25" s="10">
        <v>2819733</v>
      </c>
      <c r="H25" s="10">
        <v>224458</v>
      </c>
      <c r="I25" s="10">
        <v>18645</v>
      </c>
      <c r="J25" s="10">
        <v>0</v>
      </c>
      <c r="K25" s="11"/>
      <c r="L25" s="12"/>
      <c r="M25" s="12"/>
    </row>
    <row r="26" spans="2:13" x14ac:dyDescent="0.2">
      <c r="B26" s="8">
        <v>19</v>
      </c>
      <c r="C26" s="8" t="s">
        <v>33</v>
      </c>
      <c r="D26" s="9" t="s">
        <v>97</v>
      </c>
      <c r="E26" s="8" t="s">
        <v>33</v>
      </c>
      <c r="F26" s="10">
        <v>1207749</v>
      </c>
      <c r="G26" s="10">
        <v>1958483</v>
      </c>
      <c r="H26" s="10">
        <v>123959</v>
      </c>
      <c r="I26" s="10">
        <v>14811</v>
      </c>
      <c r="J26" s="10">
        <v>0</v>
      </c>
      <c r="K26" s="11"/>
      <c r="L26" s="12"/>
      <c r="M26" s="12"/>
    </row>
    <row r="27" spans="2:13" x14ac:dyDescent="0.2">
      <c r="B27" s="8">
        <v>20</v>
      </c>
      <c r="C27" s="8" t="s">
        <v>34</v>
      </c>
      <c r="D27" s="9" t="s">
        <v>97</v>
      </c>
      <c r="E27" s="8" t="s">
        <v>34</v>
      </c>
      <c r="F27" s="10">
        <v>4644915</v>
      </c>
      <c r="G27" s="10">
        <v>8092754</v>
      </c>
      <c r="H27" s="10">
        <v>413737</v>
      </c>
      <c r="I27" s="10">
        <v>95593</v>
      </c>
      <c r="J27" s="10">
        <v>0</v>
      </c>
      <c r="K27" s="11"/>
      <c r="L27" s="12"/>
      <c r="M27" s="12"/>
    </row>
    <row r="28" spans="2:13" x14ac:dyDescent="0.2">
      <c r="B28" s="8">
        <v>21</v>
      </c>
      <c r="C28" s="8" t="s">
        <v>35</v>
      </c>
      <c r="D28" s="9" t="s">
        <v>97</v>
      </c>
      <c r="E28" s="8" t="s">
        <v>35</v>
      </c>
      <c r="F28" s="10">
        <v>23228606.84</v>
      </c>
      <c r="G28" s="10">
        <v>58052228.479999997</v>
      </c>
      <c r="H28" s="10">
        <v>344292.01699999999</v>
      </c>
      <c r="I28" s="10">
        <v>182052.5</v>
      </c>
      <c r="J28" s="10">
        <v>12640.874925184</v>
      </c>
      <c r="K28" s="11"/>
      <c r="L28" s="12"/>
      <c r="M28" s="12"/>
    </row>
    <row r="29" spans="2:13" x14ac:dyDescent="0.2">
      <c r="B29" s="8">
        <v>22</v>
      </c>
      <c r="C29" s="8" t="s">
        <v>36</v>
      </c>
      <c r="D29" s="9" t="s">
        <v>97</v>
      </c>
      <c r="E29" s="8" t="s">
        <v>36</v>
      </c>
      <c r="F29" s="10">
        <v>10434754.33</v>
      </c>
      <c r="G29" s="10">
        <v>4082568.36</v>
      </c>
      <c r="H29" s="10">
        <v>204604.52</v>
      </c>
      <c r="I29" s="10">
        <v>19249</v>
      </c>
      <c r="J29" s="10">
        <v>173.4048798636</v>
      </c>
      <c r="K29" s="11"/>
      <c r="L29" s="12"/>
      <c r="M29" s="12"/>
    </row>
    <row r="30" spans="2:13" x14ac:dyDescent="0.2">
      <c r="B30" s="8">
        <v>23</v>
      </c>
      <c r="C30" s="8" t="s">
        <v>37</v>
      </c>
      <c r="D30" s="9" t="s">
        <v>97</v>
      </c>
      <c r="E30" s="8" t="s">
        <v>37</v>
      </c>
      <c r="F30" s="10">
        <v>40664118.969999999</v>
      </c>
      <c r="G30" s="10">
        <v>90559490.280000001</v>
      </c>
      <c r="H30" s="10">
        <v>240297.55</v>
      </c>
      <c r="I30" s="10">
        <v>211339.80799999999</v>
      </c>
      <c r="J30" s="10">
        <v>0</v>
      </c>
      <c r="K30" s="11"/>
      <c r="L30" s="12"/>
      <c r="M30" s="12"/>
    </row>
    <row r="31" spans="2:13" x14ac:dyDescent="0.2">
      <c r="B31" s="8">
        <v>24</v>
      </c>
      <c r="C31" s="8" t="s">
        <v>38</v>
      </c>
      <c r="D31" s="9" t="s">
        <v>97</v>
      </c>
      <c r="E31" s="8" t="s">
        <v>38</v>
      </c>
      <c r="F31" s="10">
        <v>2219270</v>
      </c>
      <c r="G31" s="10">
        <v>2867470</v>
      </c>
      <c r="H31" s="10">
        <v>37197</v>
      </c>
      <c r="I31" s="10">
        <v>19109</v>
      </c>
      <c r="J31" s="10">
        <v>0</v>
      </c>
      <c r="K31" s="11"/>
      <c r="L31" s="12"/>
      <c r="M31" s="12"/>
    </row>
    <row r="32" spans="2:13" x14ac:dyDescent="0.2">
      <c r="B32" s="8">
        <v>25</v>
      </c>
      <c r="C32" s="8" t="s">
        <v>39</v>
      </c>
      <c r="D32" s="9" t="s">
        <v>97</v>
      </c>
      <c r="E32" s="8" t="s">
        <v>39</v>
      </c>
      <c r="F32" s="10">
        <v>43366931.2927</v>
      </c>
      <c r="G32" s="10">
        <v>118633381.88410001</v>
      </c>
      <c r="H32" s="10">
        <v>2154770.7999999998</v>
      </c>
      <c r="I32" s="10">
        <v>739940.58109999995</v>
      </c>
      <c r="J32" s="10">
        <v>3286.9587300463149</v>
      </c>
      <c r="K32" s="11"/>
      <c r="L32" s="12"/>
      <c r="M32" s="12"/>
    </row>
    <row r="33" spans="2:13" x14ac:dyDescent="0.2">
      <c r="B33" s="8">
        <v>26</v>
      </c>
      <c r="C33" s="8" t="s">
        <v>40</v>
      </c>
      <c r="D33" s="9" t="s">
        <v>97</v>
      </c>
      <c r="E33" s="8" t="s">
        <v>40</v>
      </c>
      <c r="F33" s="10">
        <v>1599904</v>
      </c>
      <c r="G33" s="10">
        <v>2793061.7</v>
      </c>
      <c r="H33" s="10">
        <v>40216</v>
      </c>
      <c r="I33" s="10">
        <v>90763</v>
      </c>
      <c r="J33" s="10">
        <v>0</v>
      </c>
      <c r="K33" s="11"/>
      <c r="L33" s="12"/>
      <c r="M33" s="12"/>
    </row>
    <row r="34" spans="2:13" x14ac:dyDescent="0.2">
      <c r="B34" s="8">
        <v>27</v>
      </c>
      <c r="C34" s="8" t="s">
        <v>41</v>
      </c>
      <c r="D34" s="9" t="s">
        <v>97</v>
      </c>
      <c r="E34" s="8" t="s">
        <v>41</v>
      </c>
      <c r="F34" s="10">
        <v>1328047.5</v>
      </c>
      <c r="G34" s="10">
        <v>9654550.4544999991</v>
      </c>
      <c r="H34" s="10">
        <v>4520</v>
      </c>
      <c r="I34" s="10">
        <v>40135.199999999997</v>
      </c>
      <c r="J34" s="10">
        <v>-43.653180401571433</v>
      </c>
      <c r="K34" s="11"/>
      <c r="L34" s="12"/>
      <c r="M34" s="12"/>
    </row>
    <row r="35" spans="2:13" x14ac:dyDescent="0.2">
      <c r="B35" s="8">
        <v>28</v>
      </c>
      <c r="C35" s="8" t="s">
        <v>42</v>
      </c>
      <c r="D35" s="9" t="s">
        <v>97</v>
      </c>
      <c r="E35" s="8" t="s">
        <v>42</v>
      </c>
      <c r="F35" s="10">
        <v>5920564.7000000002</v>
      </c>
      <c r="G35" s="10">
        <v>6370444.5549999997</v>
      </c>
      <c r="H35" s="10">
        <v>251144</v>
      </c>
      <c r="I35" s="10">
        <v>28672.674900000002</v>
      </c>
      <c r="J35" s="10">
        <v>-17039.012103839312</v>
      </c>
      <c r="K35" s="11"/>
      <c r="L35" s="12"/>
      <c r="M35" s="12"/>
    </row>
    <row r="36" spans="2:13" x14ac:dyDescent="0.2">
      <c r="B36" s="8">
        <v>29</v>
      </c>
      <c r="C36" s="8" t="s">
        <v>43</v>
      </c>
      <c r="D36" s="9" t="s">
        <v>97</v>
      </c>
      <c r="E36" s="8" t="s">
        <v>43</v>
      </c>
      <c r="F36" s="10">
        <v>11293541.5</v>
      </c>
      <c r="G36" s="10">
        <v>5362850.2964000003</v>
      </c>
      <c r="H36" s="10">
        <v>339324</v>
      </c>
      <c r="I36" s="10">
        <v>77313.899999999994</v>
      </c>
      <c r="J36" s="10">
        <v>22588.991359678039</v>
      </c>
      <c r="K36" s="11"/>
      <c r="L36" s="12"/>
      <c r="M36" s="12"/>
    </row>
    <row r="37" spans="2:13" x14ac:dyDescent="0.2">
      <c r="B37" s="8">
        <v>30</v>
      </c>
      <c r="C37" s="8" t="s">
        <v>44</v>
      </c>
      <c r="D37" s="9" t="s">
        <v>97</v>
      </c>
      <c r="E37" s="8" t="s">
        <v>45</v>
      </c>
      <c r="F37" s="10">
        <v>435933.99999999988</v>
      </c>
      <c r="G37" s="10">
        <v>919290</v>
      </c>
      <c r="H37" s="10">
        <v>43245</v>
      </c>
      <c r="I37" s="10">
        <v>12427</v>
      </c>
      <c r="J37" s="10">
        <v>0</v>
      </c>
      <c r="K37" s="11"/>
      <c r="L37" s="12"/>
      <c r="M37" s="12"/>
    </row>
    <row r="38" spans="2:13" x14ac:dyDescent="0.2">
      <c r="B38" s="8">
        <v>31</v>
      </c>
      <c r="C38" s="8" t="s">
        <v>46</v>
      </c>
      <c r="D38" s="9" t="s">
        <v>97</v>
      </c>
      <c r="E38" s="8" t="s">
        <v>46</v>
      </c>
      <c r="F38" s="10">
        <v>4512098.3830000004</v>
      </c>
      <c r="G38" s="10">
        <v>17811131.941</v>
      </c>
      <c r="H38" s="10">
        <v>13458</v>
      </c>
      <c r="I38" s="10">
        <v>42244.014000000003</v>
      </c>
      <c r="J38" s="10">
        <v>-35.206229209782883</v>
      </c>
      <c r="K38" s="11"/>
      <c r="L38" s="12"/>
      <c r="M38" s="12"/>
    </row>
    <row r="39" spans="2:13" x14ac:dyDescent="0.2">
      <c r="B39" s="8">
        <v>32</v>
      </c>
      <c r="C39" s="8" t="s">
        <v>47</v>
      </c>
      <c r="D39" s="9" t="s">
        <v>97</v>
      </c>
      <c r="E39" s="8" t="s">
        <v>47</v>
      </c>
      <c r="F39" s="10">
        <v>6283946.3530000001</v>
      </c>
      <c r="G39" s="10">
        <v>27286382.329</v>
      </c>
      <c r="H39" s="10">
        <v>12570.960999999999</v>
      </c>
      <c r="I39" s="10">
        <v>20482.008000000002</v>
      </c>
      <c r="J39" s="10">
        <v>43712.890493620478</v>
      </c>
      <c r="K39" s="11"/>
      <c r="L39" s="12"/>
      <c r="M39" s="12"/>
    </row>
    <row r="40" spans="2:13" x14ac:dyDescent="0.2">
      <c r="B40" s="8">
        <v>33</v>
      </c>
      <c r="C40" s="8" t="s">
        <v>48</v>
      </c>
      <c r="D40" s="9" t="s">
        <v>97</v>
      </c>
      <c r="E40" s="8" t="s">
        <v>48</v>
      </c>
      <c r="F40" s="10">
        <v>14651117.562000001</v>
      </c>
      <c r="G40" s="10">
        <v>47142862.340291329</v>
      </c>
      <c r="H40" s="10">
        <v>45278.1</v>
      </c>
      <c r="I40" s="10">
        <v>62467.421000000002</v>
      </c>
      <c r="J40" s="10">
        <v>-77531.08117266692</v>
      </c>
      <c r="K40" s="11"/>
      <c r="L40" s="12"/>
      <c r="M40" s="12"/>
    </row>
    <row r="41" spans="2:13" x14ac:dyDescent="0.2">
      <c r="B41" s="8">
        <v>34</v>
      </c>
      <c r="C41" s="8" t="s">
        <v>49</v>
      </c>
      <c r="D41" s="9" t="s">
        <v>97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2"/>
      <c r="M41" s="12"/>
    </row>
    <row r="42" spans="2:13" x14ac:dyDescent="0.2">
      <c r="B42" s="8">
        <v>35</v>
      </c>
      <c r="C42" s="8" t="s">
        <v>50</v>
      </c>
      <c r="D42" s="9" t="s">
        <v>97</v>
      </c>
      <c r="E42" s="8" t="s">
        <v>50</v>
      </c>
      <c r="F42" s="10">
        <v>0</v>
      </c>
      <c r="G42" s="10">
        <v>11968</v>
      </c>
      <c r="H42" s="10">
        <v>0</v>
      </c>
      <c r="I42" s="10">
        <v>0</v>
      </c>
      <c r="J42" s="10">
        <v>0</v>
      </c>
      <c r="K42" s="11"/>
      <c r="L42" s="12"/>
      <c r="M42" s="12"/>
    </row>
    <row r="43" spans="2:13" x14ac:dyDescent="0.2">
      <c r="B43" s="8">
        <v>36</v>
      </c>
      <c r="C43" s="8" t="s">
        <v>51</v>
      </c>
      <c r="D43" s="9" t="s">
        <v>97</v>
      </c>
      <c r="E43" s="8" t="s">
        <v>51</v>
      </c>
      <c r="F43" s="10">
        <v>32785.800000000003</v>
      </c>
      <c r="G43" s="10">
        <v>63849.4</v>
      </c>
      <c r="H43" s="10">
        <v>0</v>
      </c>
      <c r="I43" s="10">
        <v>0</v>
      </c>
      <c r="J43" s="10">
        <v>0</v>
      </c>
      <c r="K43" s="11"/>
      <c r="L43" s="12"/>
      <c r="M43" s="12"/>
    </row>
    <row r="44" spans="2:13" x14ac:dyDescent="0.2">
      <c r="B44" s="13" t="s">
        <v>52</v>
      </c>
      <c r="C44" s="14"/>
      <c r="D44" s="14"/>
      <c r="E44" s="15"/>
      <c r="F44" s="16">
        <v>558796905.73070002</v>
      </c>
      <c r="G44" s="16">
        <v>1537318590.6478362</v>
      </c>
      <c r="H44" s="16">
        <v>11776268.979</v>
      </c>
      <c r="I44" s="16">
        <v>5585086.0030000014</v>
      </c>
      <c r="J44" s="16">
        <v>2317515.1235454129</v>
      </c>
      <c r="K44" s="11"/>
      <c r="L44" s="12"/>
      <c r="M44" s="12"/>
    </row>
    <row r="45" spans="2:13" x14ac:dyDescent="0.2">
      <c r="F45" s="18"/>
      <c r="G45" s="18"/>
      <c r="H45" s="18"/>
      <c r="I45" s="18"/>
      <c r="J45" s="18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A49A-D639-4E99-AF66-A13BDD504BE5}">
  <sheetPr codeName="Hoja11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5" customWidth="1"/>
    <col min="9" max="9" width="11.5703125" customWidth="1"/>
    <col min="10" max="10" width="13.42578125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2" t="s">
        <v>1</v>
      </c>
      <c r="F2" s="2"/>
      <c r="G2" s="3" t="str">
        <f>'Entrada AR'!$G$2</f>
        <v>def</v>
      </c>
    </row>
    <row r="3" spans="2:15" x14ac:dyDescent="0.2">
      <c r="B3" s="4">
        <f>'Entrada AR'!FechaFacturacion</f>
        <v>45717</v>
      </c>
      <c r="C3" s="4"/>
      <c r="D3" s="5"/>
    </row>
    <row r="4" spans="2:15" x14ac:dyDescent="0.2">
      <c r="B4" s="1"/>
    </row>
    <row r="6" spans="2:15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54</v>
      </c>
      <c r="N6" s="12"/>
    </row>
    <row r="7" spans="2:15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N7" s="12"/>
      <c r="O7" s="17"/>
    </row>
    <row r="8" spans="2:15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resumen_montos_facturados_TD_AR_CDpRGL_2503def.xlsx</v>
      </c>
      <c r="E8" s="8" t="s">
        <v>14</v>
      </c>
      <c r="F8" s="10">
        <v>5156215</v>
      </c>
      <c r="G8" s="10">
        <v>3378140</v>
      </c>
      <c r="H8" s="10">
        <v>178359</v>
      </c>
      <c r="I8" s="10">
        <v>51193</v>
      </c>
      <c r="J8" s="10">
        <v>-2489089.5877014678</v>
      </c>
      <c r="K8" s="11"/>
      <c r="L8" s="11"/>
      <c r="M8" s="12"/>
      <c r="N8" s="12"/>
    </row>
    <row r="9" spans="2:15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resumen_montos_facturados_TD_AR_CDpRGL_2503def.xlsx</v>
      </c>
      <c r="E9" s="8" t="s">
        <v>15</v>
      </c>
      <c r="F9" s="10">
        <v>1096154</v>
      </c>
      <c r="G9" s="10">
        <v>4377593</v>
      </c>
      <c r="H9" s="10">
        <v>1652</v>
      </c>
      <c r="I9" s="10">
        <v>29639</v>
      </c>
      <c r="J9" s="10">
        <v>-23032036.912148882</v>
      </c>
      <c r="K9" s="11"/>
      <c r="L9" s="11"/>
      <c r="M9" s="12"/>
      <c r="N9" s="12"/>
    </row>
    <row r="10" spans="2:15" x14ac:dyDescent="0.2">
      <c r="B10" s="8">
        <v>3</v>
      </c>
      <c r="C10" s="8" t="s">
        <v>16</v>
      </c>
      <c r="D10" s="9" t="str">
        <f t="shared" si="0"/>
        <v>resumen_montos_facturados_TD_AR_CDpRGL_2503def.xlsx</v>
      </c>
      <c r="E10" s="8" t="s">
        <v>16</v>
      </c>
      <c r="F10" s="10">
        <v>1794659.36</v>
      </c>
      <c r="G10" s="10">
        <v>5969691.0329999998</v>
      </c>
      <c r="H10" s="10">
        <v>0</v>
      </c>
      <c r="I10" s="10">
        <v>24727</v>
      </c>
      <c r="J10" s="10">
        <v>12778916.42544608</v>
      </c>
      <c r="K10" s="11"/>
      <c r="L10" s="11"/>
      <c r="M10" s="12"/>
      <c r="N10" s="12"/>
    </row>
    <row r="11" spans="2:15" x14ac:dyDescent="0.2">
      <c r="B11" s="8">
        <v>4</v>
      </c>
      <c r="C11" s="8" t="s">
        <v>17</v>
      </c>
      <c r="D11" s="9" t="str">
        <f t="shared" si="0"/>
        <v>resumen_montos_facturados_TD_AR_CDpRGL_2503def.xlsx</v>
      </c>
      <c r="E11" s="8" t="s">
        <v>17</v>
      </c>
      <c r="F11" s="10">
        <v>484040</v>
      </c>
      <c r="G11" s="10">
        <v>1275896</v>
      </c>
      <c r="H11" s="10">
        <v>0</v>
      </c>
      <c r="I11" s="10">
        <v>0</v>
      </c>
      <c r="J11" s="10">
        <v>3231521.9108381718</v>
      </c>
      <c r="K11" s="11"/>
      <c r="L11" s="11"/>
      <c r="M11" s="12"/>
      <c r="N11" s="12"/>
    </row>
    <row r="12" spans="2:15" x14ac:dyDescent="0.2">
      <c r="B12" s="8">
        <v>5</v>
      </c>
      <c r="C12" s="8" t="s">
        <v>18</v>
      </c>
      <c r="D12" s="9" t="str">
        <f t="shared" si="0"/>
        <v>resumen_montos_facturados_TD_AR_CDpRGL_2503def.xlsx</v>
      </c>
      <c r="E12" s="8" t="s">
        <v>18</v>
      </c>
      <c r="F12" s="10">
        <v>205758641.80500001</v>
      </c>
      <c r="G12" s="10">
        <v>428742887.85100001</v>
      </c>
      <c r="H12" s="10">
        <v>4367319.7060000002</v>
      </c>
      <c r="I12" s="10">
        <v>1666562.73</v>
      </c>
      <c r="J12" s="10">
        <v>143917371.65780389</v>
      </c>
      <c r="K12" s="11"/>
      <c r="L12" s="11"/>
      <c r="M12" s="12"/>
      <c r="N12" s="12"/>
    </row>
    <row r="13" spans="2:15" x14ac:dyDescent="0.2">
      <c r="B13" s="8">
        <v>6</v>
      </c>
      <c r="C13" s="8" t="s">
        <v>19</v>
      </c>
      <c r="D13" s="9" t="str">
        <f t="shared" si="0"/>
        <v>resumen_montos_facturados_TD_AR_CDpRGL_2503def.xlsx</v>
      </c>
      <c r="E13" s="8" t="s">
        <v>20</v>
      </c>
      <c r="F13" s="10">
        <v>259592.5</v>
      </c>
      <c r="G13" s="10">
        <v>880990.46799999999</v>
      </c>
      <c r="H13" s="10">
        <v>0</v>
      </c>
      <c r="I13" s="10">
        <v>0</v>
      </c>
      <c r="J13" s="10">
        <v>-17254708.718796689</v>
      </c>
      <c r="K13" s="11"/>
      <c r="L13" s="11"/>
      <c r="M13" s="12"/>
      <c r="N13" s="12"/>
    </row>
    <row r="14" spans="2:15" x14ac:dyDescent="0.2">
      <c r="B14" s="8">
        <v>7</v>
      </c>
      <c r="C14" s="8" t="s">
        <v>21</v>
      </c>
      <c r="D14" s="9" t="str">
        <f t="shared" si="0"/>
        <v>resumen_montos_facturados_TD_AR_CDpRGL_2503def.xlsx</v>
      </c>
      <c r="E14" s="8" t="s">
        <v>21</v>
      </c>
      <c r="F14" s="10">
        <v>12632883.048</v>
      </c>
      <c r="G14" s="10">
        <v>18870597.596999999</v>
      </c>
      <c r="H14" s="10">
        <v>307080.18300000002</v>
      </c>
      <c r="I14" s="10">
        <v>51796.796000000002</v>
      </c>
      <c r="J14" s="10">
        <v>-173182773.15555269</v>
      </c>
      <c r="K14" s="11"/>
      <c r="L14" s="11"/>
      <c r="M14" s="12"/>
      <c r="N14" s="12"/>
    </row>
    <row r="15" spans="2:15" x14ac:dyDescent="0.2">
      <c r="B15" s="8">
        <v>8</v>
      </c>
      <c r="C15" s="8" t="s">
        <v>22</v>
      </c>
      <c r="D15" s="9" t="str">
        <f t="shared" si="0"/>
        <v>resumen_montos_facturados_TD_AR_CDpRGL_2503def.xlsx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5" x14ac:dyDescent="0.2">
      <c r="B16" s="8">
        <v>9</v>
      </c>
      <c r="C16" s="8" t="s">
        <v>23</v>
      </c>
      <c r="D16" s="9" t="str">
        <f t="shared" si="0"/>
        <v>resumen_montos_facturados_TD_AR_CDpRGL_2503def.xlsx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resumen_montos_facturados_TD_AR_CDpRGL_2503def.xlsx</v>
      </c>
      <c r="E17" s="8" t="s">
        <v>24</v>
      </c>
      <c r="F17" s="10">
        <v>105789477.837</v>
      </c>
      <c r="G17" s="10">
        <v>550466328.64954495</v>
      </c>
      <c r="H17" s="10">
        <v>873990.5</v>
      </c>
      <c r="I17" s="10">
        <v>1595797.621</v>
      </c>
      <c r="J17" s="10">
        <v>918793838.71897483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resumen_montos_facturados_TD_AR_CDpRGL_2503def.xlsx</v>
      </c>
      <c r="E18" s="8" t="s">
        <v>25</v>
      </c>
      <c r="F18" s="10">
        <v>46012.999999999993</v>
      </c>
      <c r="G18" s="10">
        <v>291810</v>
      </c>
      <c r="H18" s="10">
        <v>0</v>
      </c>
      <c r="I18" s="10">
        <v>2047</v>
      </c>
      <c r="J18" s="10">
        <v>982509.12341789273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resumen_montos_facturados_TD_AR_CDpRGL_2503def.xlsx</v>
      </c>
      <c r="E19" s="8" t="s">
        <v>26</v>
      </c>
      <c r="F19" s="10">
        <v>37003444.303000003</v>
      </c>
      <c r="G19" s="10">
        <v>66992934.467</v>
      </c>
      <c r="H19" s="10">
        <v>990964.64199999999</v>
      </c>
      <c r="I19" s="10">
        <v>216428.342</v>
      </c>
      <c r="J19" s="10">
        <v>-59785192.33053308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resumen_montos_facturados_TD_AR_CDpRGL_2503def.xlsx</v>
      </c>
      <c r="E20" s="8" t="s">
        <v>27</v>
      </c>
      <c r="F20" s="10">
        <v>4648902.6469999999</v>
      </c>
      <c r="G20" s="10">
        <v>16498351.562000001</v>
      </c>
      <c r="H20" s="10">
        <v>0</v>
      </c>
      <c r="I20" s="10">
        <v>31365.406999999999</v>
      </c>
      <c r="J20" s="10">
        <v>38605872.011739276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resumen_montos_facturados_TD_AR_CDpRGL_2503def.xlsx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resumen_montos_facturados_TD_AR_CDpRGL_2503def.xlsx</v>
      </c>
      <c r="E22" s="8" t="s">
        <v>29</v>
      </c>
      <c r="F22" s="10">
        <v>2529575</v>
      </c>
      <c r="G22" s="10">
        <v>6943345</v>
      </c>
      <c r="H22" s="10">
        <v>512</v>
      </c>
      <c r="I22" s="10">
        <v>20437</v>
      </c>
      <c r="J22" s="10">
        <v>-2067978.912653429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resumen_montos_facturados_TD_AR_CDpRGL_2503def.xlsx</v>
      </c>
      <c r="E23" s="8" t="s">
        <v>30</v>
      </c>
      <c r="F23" s="10">
        <v>7634817</v>
      </c>
      <c r="G23" s="10">
        <v>15346168</v>
      </c>
      <c r="H23" s="10">
        <v>563296</v>
      </c>
      <c r="I23" s="10">
        <v>144432</v>
      </c>
      <c r="J23" s="10">
        <v>30057545.664669789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resumen_montos_facturados_TD_AR_CDpRGL_2503def.xlsx</v>
      </c>
      <c r="E24" s="8" t="s">
        <v>31</v>
      </c>
      <c r="F24" s="10">
        <v>1710055</v>
      </c>
      <c r="G24" s="10">
        <v>12801357</v>
      </c>
      <c r="H24" s="10">
        <v>23</v>
      </c>
      <c r="I24" s="10">
        <v>75415</v>
      </c>
      <c r="J24" s="10">
        <v>20804684.670808449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resumen_montos_facturados_TD_AR_CDpRGL_2503def.xlsx</v>
      </c>
      <c r="E25" s="8" t="s">
        <v>32</v>
      </c>
      <c r="F25" s="10">
        <v>428150</v>
      </c>
      <c r="G25" s="10">
        <v>2819733</v>
      </c>
      <c r="H25" s="10">
        <v>224458</v>
      </c>
      <c r="I25" s="10">
        <v>18645</v>
      </c>
      <c r="J25" s="10">
        <v>-5453698.1845730143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resumen_montos_facturados_TD_AR_CDpRGL_2503def.xlsx</v>
      </c>
      <c r="E26" s="8" t="s">
        <v>33</v>
      </c>
      <c r="F26" s="10">
        <v>1207749</v>
      </c>
      <c r="G26" s="10">
        <v>1958483</v>
      </c>
      <c r="H26" s="10">
        <v>123959</v>
      </c>
      <c r="I26" s="10">
        <v>14811</v>
      </c>
      <c r="J26" s="10">
        <v>4053624.0512997778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resumen_montos_facturados_TD_AR_CDpRGL_2503def.xlsx</v>
      </c>
      <c r="E27" s="8" t="s">
        <v>34</v>
      </c>
      <c r="F27" s="10">
        <v>4644915</v>
      </c>
      <c r="G27" s="10">
        <v>8092754</v>
      </c>
      <c r="H27" s="10">
        <v>413737</v>
      </c>
      <c r="I27" s="10">
        <v>95593</v>
      </c>
      <c r="J27" s="10">
        <v>-3211645.5139699942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resumen_montos_facturados_TD_AR_CDpRGL_2503def.xlsx</v>
      </c>
      <c r="E28" s="8" t="s">
        <v>35</v>
      </c>
      <c r="F28" s="10">
        <v>23228606.84</v>
      </c>
      <c r="G28" s="10">
        <v>58052228.479999997</v>
      </c>
      <c r="H28" s="10">
        <v>344292.01699999999</v>
      </c>
      <c r="I28" s="10">
        <v>182052.5</v>
      </c>
      <c r="J28" s="10">
        <v>-105755928.191664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resumen_montos_facturados_TD_AR_CDpRGL_2503def.xlsx</v>
      </c>
      <c r="E29" s="8" t="s">
        <v>36</v>
      </c>
      <c r="F29" s="10">
        <v>10434754.33</v>
      </c>
      <c r="G29" s="10">
        <v>4082568.36</v>
      </c>
      <c r="H29" s="10">
        <v>204604.52</v>
      </c>
      <c r="I29" s="10">
        <v>19249</v>
      </c>
      <c r="J29" s="10">
        <v>1002278.666528397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resumen_montos_facturados_TD_AR_CDpRGL_2503def.xlsx</v>
      </c>
      <c r="E30" s="8" t="s">
        <v>37</v>
      </c>
      <c r="F30" s="10">
        <v>40664118.969999999</v>
      </c>
      <c r="G30" s="10">
        <v>90559490.280000001</v>
      </c>
      <c r="H30" s="10">
        <v>240297.55</v>
      </c>
      <c r="I30" s="10">
        <v>211339.80799999999</v>
      </c>
      <c r="J30" s="10">
        <v>-140169217.8263208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resumen_montos_facturados_TD_AR_CDpRGL_2503def.xlsx</v>
      </c>
      <c r="E31" s="8" t="s">
        <v>38</v>
      </c>
      <c r="F31" s="10">
        <v>2219270</v>
      </c>
      <c r="G31" s="10">
        <v>2867470</v>
      </c>
      <c r="H31" s="10">
        <v>37197</v>
      </c>
      <c r="I31" s="10">
        <v>19109</v>
      </c>
      <c r="J31" s="10">
        <v>4273943.5074858852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resumen_montos_facturados_TD_AR_CDpRGL_2503def.xlsx</v>
      </c>
      <c r="E32" s="8" t="s">
        <v>39</v>
      </c>
      <c r="F32" s="10">
        <v>43366931.2927</v>
      </c>
      <c r="G32" s="10">
        <v>118633381.88410001</v>
      </c>
      <c r="H32" s="10">
        <v>2154770.7999999998</v>
      </c>
      <c r="I32" s="10">
        <v>739940.58109999995</v>
      </c>
      <c r="J32" s="10">
        <v>-239752305.69715711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resumen_montos_facturados_TD_AR_CDpRGL_2503def.xlsx</v>
      </c>
      <c r="E33" s="8" t="s">
        <v>40</v>
      </c>
      <c r="F33" s="10">
        <v>1599904</v>
      </c>
      <c r="G33" s="10">
        <v>2793061.7</v>
      </c>
      <c r="H33" s="10">
        <v>40216</v>
      </c>
      <c r="I33" s="10">
        <v>90763</v>
      </c>
      <c r="J33" s="10">
        <v>6829439.8768359879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resumen_montos_facturados_TD_AR_CDpRGL_2503def.xlsx</v>
      </c>
      <c r="E34" s="8" t="s">
        <v>41</v>
      </c>
      <c r="F34" s="10">
        <v>1328047.5</v>
      </c>
      <c r="G34" s="10">
        <v>9654550.4544999991</v>
      </c>
      <c r="H34" s="10">
        <v>4520</v>
      </c>
      <c r="I34" s="10">
        <v>40135.199999999997</v>
      </c>
      <c r="J34" s="10">
        <v>17336956.178039361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resumen_montos_facturados_TD_AR_CDpRGL_2503def.xlsx</v>
      </c>
      <c r="E35" s="8" t="s">
        <v>42</v>
      </c>
      <c r="F35" s="10">
        <v>5920564.7000000002</v>
      </c>
      <c r="G35" s="10">
        <v>6370444.5549999997</v>
      </c>
      <c r="H35" s="10">
        <v>251144</v>
      </c>
      <c r="I35" s="10">
        <v>28672.674900000002</v>
      </c>
      <c r="J35" s="10">
        <v>-50767988.757257618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resumen_montos_facturados_TD_AR_CDpRGL_2503def.xlsx</v>
      </c>
      <c r="E36" s="8" t="s">
        <v>43</v>
      </c>
      <c r="F36" s="10">
        <v>11293541.5</v>
      </c>
      <c r="G36" s="10">
        <v>5362850.2964000003</v>
      </c>
      <c r="H36" s="10">
        <v>339324</v>
      </c>
      <c r="I36" s="10">
        <v>77313.899999999994</v>
      </c>
      <c r="J36" s="10">
        <v>21847198.691540658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resumen_montos_facturados_TD_AR_CDpRGL_2503def.xlsx</v>
      </c>
      <c r="E37" s="8" t="s">
        <v>45</v>
      </c>
      <c r="F37" s="10">
        <v>435933.99999999988</v>
      </c>
      <c r="G37" s="10">
        <v>919290</v>
      </c>
      <c r="H37" s="10">
        <v>43245</v>
      </c>
      <c r="I37" s="10">
        <v>12427</v>
      </c>
      <c r="J37" s="10">
        <v>-11664747.59193665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resumen_montos_facturados_TD_AR_CDpRGL_2503def.xlsx</v>
      </c>
      <c r="E38" s="8" t="s">
        <v>46</v>
      </c>
      <c r="F38" s="10">
        <v>4512098.3830000004</v>
      </c>
      <c r="G38" s="10">
        <v>17811131.941</v>
      </c>
      <c r="H38" s="10">
        <v>13458</v>
      </c>
      <c r="I38" s="10">
        <v>42244.014000000003</v>
      </c>
      <c r="J38" s="10">
        <v>33479691.292486109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resumen_montos_facturados_TD_AR_CDpRGL_2503def.xlsx</v>
      </c>
      <c r="E39" s="8" t="s">
        <v>47</v>
      </c>
      <c r="F39" s="10">
        <v>6283946.3530000001</v>
      </c>
      <c r="G39" s="10">
        <v>27286382.329</v>
      </c>
      <c r="H39" s="10">
        <v>12570.960999999999</v>
      </c>
      <c r="I39" s="10">
        <v>20482.008000000002</v>
      </c>
      <c r="J39" s="10">
        <v>-87256484.912933633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resumen_montos_facturados_TD_AR_CDpRGL_2503def.xlsx</v>
      </c>
      <c r="E40" s="8" t="s">
        <v>48</v>
      </c>
      <c r="F40" s="10">
        <v>14651117.562000001</v>
      </c>
      <c r="G40" s="10">
        <v>47142862.340291329</v>
      </c>
      <c r="H40" s="10">
        <v>45278.1</v>
      </c>
      <c r="I40" s="10">
        <v>62467.421000000002</v>
      </c>
      <c r="J40" s="10">
        <v>-190596188.76053891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resumen_montos_facturados_TD_AR_CDpRGL_2503def.xlsx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resumen_montos_facturados_TD_AR_CDpRGL_2503def.xlsx</v>
      </c>
      <c r="E42" s="8" t="s">
        <v>50</v>
      </c>
      <c r="F42" s="10">
        <v>0</v>
      </c>
      <c r="G42" s="10">
        <v>11968</v>
      </c>
      <c r="H42" s="10">
        <v>0</v>
      </c>
      <c r="I42" s="10">
        <v>0</v>
      </c>
      <c r="J42" s="10">
        <v>0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resumen_montos_facturados_TD_AR_CDpRGL_2503def.xlsx</v>
      </c>
      <c r="E43" s="8" t="s">
        <v>51</v>
      </c>
      <c r="F43" s="10">
        <v>32785.800000000003</v>
      </c>
      <c r="G43" s="10">
        <v>63849.4</v>
      </c>
      <c r="H43" s="10">
        <v>0</v>
      </c>
      <c r="I43" s="10">
        <v>0</v>
      </c>
      <c r="J43" s="10">
        <v>-2286363.255466803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558796905.73070002</v>
      </c>
      <c r="G44" s="16">
        <f>SUM(G8:G43)</f>
        <v>1537318590.6478362</v>
      </c>
      <c r="H44" s="16">
        <f>SUM(H8:H43)</f>
        <v>11776268.979</v>
      </c>
      <c r="I44" s="16">
        <f>SUM(I8:I43)</f>
        <v>5585086.0030000014</v>
      </c>
      <c r="J44" s="16">
        <f>SUM(J8:J43)</f>
        <v>143269044.13870966</v>
      </c>
      <c r="K44" s="11"/>
      <c r="L44" s="11"/>
      <c r="M44" s="12"/>
      <c r="N44" s="12"/>
    </row>
    <row r="45" spans="2:14" x14ac:dyDescent="0.2">
      <c r="N45" s="12"/>
    </row>
    <row r="46" spans="2:14" x14ac:dyDescent="0.2">
      <c r="F46" s="18"/>
      <c r="G46" s="18"/>
      <c r="H46" s="18"/>
      <c r="I46" s="18"/>
      <c r="J46" s="18"/>
      <c r="N46" s="12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4F70-9373-46C7-9EF7-A10A508ACF66}">
  <sheetPr codeName="Hoja13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3.7109375" customWidth="1"/>
    <col min="9" max="9" width="12.140625" customWidth="1"/>
    <col min="10" max="10" width="12.140625" bestFit="1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2" t="s">
        <v>1</v>
      </c>
      <c r="F2" s="2"/>
      <c r="G2" s="3" t="str">
        <f>'Entrada AR'!$G$2</f>
        <v>def</v>
      </c>
    </row>
    <row r="3" spans="2:15" x14ac:dyDescent="0.2">
      <c r="B3" s="4">
        <f>'Entrada AR'!FechaFacturacion</f>
        <v>45717</v>
      </c>
      <c r="C3" s="4"/>
      <c r="D3" s="5"/>
    </row>
    <row r="4" spans="2:15" x14ac:dyDescent="0.2">
      <c r="B4" s="1"/>
    </row>
    <row r="6" spans="2:15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55</v>
      </c>
      <c r="N6" s="12"/>
    </row>
    <row r="7" spans="2:15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N7" s="12"/>
      <c r="O7" s="17"/>
    </row>
    <row r="8" spans="2:15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resumen_montos_facturados_TD_AR_CDpRGL_2503def.xlsx</v>
      </c>
      <c r="E8" s="8" t="s">
        <v>14</v>
      </c>
      <c r="F8" s="10">
        <v>5156215</v>
      </c>
      <c r="G8" s="10">
        <v>3378140</v>
      </c>
      <c r="H8" s="10">
        <v>178359</v>
      </c>
      <c r="I8" s="10">
        <v>51193</v>
      </c>
      <c r="J8" s="10">
        <v>6048384.3289785972</v>
      </c>
      <c r="K8" s="11"/>
      <c r="L8" s="11"/>
      <c r="M8" s="12"/>
      <c r="N8" s="12"/>
    </row>
    <row r="9" spans="2:15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resumen_montos_facturados_TD_AR_CDpRGL_2503def.xlsx</v>
      </c>
      <c r="E9" s="8" t="s">
        <v>15</v>
      </c>
      <c r="F9" s="10">
        <v>1096154</v>
      </c>
      <c r="G9" s="10">
        <v>4377593</v>
      </c>
      <c r="H9" s="10">
        <v>1652</v>
      </c>
      <c r="I9" s="10">
        <v>29639</v>
      </c>
      <c r="J9" s="10">
        <v>3693841.0707967998</v>
      </c>
      <c r="K9" s="11"/>
      <c r="L9" s="11"/>
      <c r="M9" s="12"/>
      <c r="N9" s="12"/>
    </row>
    <row r="10" spans="2:15" x14ac:dyDescent="0.2">
      <c r="B10" s="8">
        <v>3</v>
      </c>
      <c r="C10" s="8" t="s">
        <v>16</v>
      </c>
      <c r="D10" s="9" t="str">
        <f t="shared" si="0"/>
        <v>resumen_montos_facturados_TD_AR_CDpRGL_2503def.xlsx</v>
      </c>
      <c r="E10" s="8" t="s">
        <v>16</v>
      </c>
      <c r="F10" s="10">
        <v>1794659.36</v>
      </c>
      <c r="G10" s="10">
        <v>5969691.0329999998</v>
      </c>
      <c r="H10" s="10">
        <v>0</v>
      </c>
      <c r="I10" s="10">
        <v>24727</v>
      </c>
      <c r="J10" s="10">
        <v>5845309.2317236373</v>
      </c>
      <c r="K10" s="11"/>
      <c r="L10" s="11"/>
      <c r="M10" s="12"/>
      <c r="N10" s="12"/>
    </row>
    <row r="11" spans="2:15" x14ac:dyDescent="0.2">
      <c r="B11" s="8">
        <v>4</v>
      </c>
      <c r="C11" s="8" t="s">
        <v>17</v>
      </c>
      <c r="D11" s="9" t="str">
        <f t="shared" si="0"/>
        <v>resumen_montos_facturados_TD_AR_CDpRGL_2503def.xlsx</v>
      </c>
      <c r="E11" s="8" t="s">
        <v>17</v>
      </c>
      <c r="F11" s="10">
        <v>484040</v>
      </c>
      <c r="G11" s="10">
        <v>1275896</v>
      </c>
      <c r="H11" s="10">
        <v>0</v>
      </c>
      <c r="I11" s="10">
        <v>0</v>
      </c>
      <c r="J11" s="10">
        <v>1479074.106917724</v>
      </c>
      <c r="K11" s="11"/>
      <c r="L11" s="11"/>
      <c r="M11" s="12"/>
      <c r="N11" s="12"/>
    </row>
    <row r="12" spans="2:15" x14ac:dyDescent="0.2">
      <c r="B12" s="8">
        <v>5</v>
      </c>
      <c r="C12" s="8" t="s">
        <v>18</v>
      </c>
      <c r="D12" s="9" t="str">
        <f t="shared" si="0"/>
        <v>resumen_montos_facturados_TD_AR_CDpRGL_2503def.xlsx</v>
      </c>
      <c r="E12" s="8" t="s">
        <v>18</v>
      </c>
      <c r="F12" s="10">
        <v>205758641.80500001</v>
      </c>
      <c r="G12" s="10">
        <v>428742887.85100001</v>
      </c>
      <c r="H12" s="10">
        <v>4367319.7060000002</v>
      </c>
      <c r="I12" s="10">
        <v>1666562.73</v>
      </c>
      <c r="J12" s="10">
        <v>-353384893.40095443</v>
      </c>
      <c r="K12" s="11"/>
      <c r="L12" s="11"/>
      <c r="M12" s="12"/>
      <c r="N12" s="12"/>
    </row>
    <row r="13" spans="2:15" x14ac:dyDescent="0.2">
      <c r="B13" s="8">
        <v>6</v>
      </c>
      <c r="C13" s="8" t="s">
        <v>19</v>
      </c>
      <c r="D13" s="9" t="str">
        <f t="shared" si="0"/>
        <v>resumen_montos_facturados_TD_AR_CDpRGL_2503def.xlsx</v>
      </c>
      <c r="E13" s="8" t="s">
        <v>20</v>
      </c>
      <c r="F13" s="10">
        <v>259592.5</v>
      </c>
      <c r="G13" s="10">
        <v>880990.46799999999</v>
      </c>
      <c r="H13" s="10">
        <v>0</v>
      </c>
      <c r="I13" s="10">
        <v>0</v>
      </c>
      <c r="J13" s="10">
        <v>623134.70836811722</v>
      </c>
      <c r="K13" s="11"/>
      <c r="L13" s="11"/>
      <c r="M13" s="12"/>
      <c r="N13" s="12"/>
    </row>
    <row r="14" spans="2:15" x14ac:dyDescent="0.2">
      <c r="B14" s="8">
        <v>7</v>
      </c>
      <c r="C14" s="8" t="s">
        <v>21</v>
      </c>
      <c r="D14" s="9" t="str">
        <f t="shared" si="0"/>
        <v>resumen_montos_facturados_TD_AR_CDpRGL_2503def.xlsx</v>
      </c>
      <c r="E14" s="8" t="s">
        <v>21</v>
      </c>
      <c r="F14" s="10">
        <v>12632883.048</v>
      </c>
      <c r="G14" s="10">
        <v>18870597.596999999</v>
      </c>
      <c r="H14" s="10">
        <v>307080.18300000002</v>
      </c>
      <c r="I14" s="10">
        <v>51796.796000000002</v>
      </c>
      <c r="J14" s="10">
        <v>-14598162.03863425</v>
      </c>
      <c r="K14" s="11"/>
      <c r="L14" s="11"/>
      <c r="M14" s="12"/>
      <c r="N14" s="12"/>
    </row>
    <row r="15" spans="2:15" x14ac:dyDescent="0.2">
      <c r="B15" s="8">
        <v>8</v>
      </c>
      <c r="C15" s="8" t="s">
        <v>22</v>
      </c>
      <c r="D15" s="9" t="str">
        <f t="shared" si="0"/>
        <v>resumen_montos_facturados_TD_AR_CDpRGL_2503def.xlsx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5" x14ac:dyDescent="0.2">
      <c r="B16" s="8">
        <v>9</v>
      </c>
      <c r="C16" s="8" t="s">
        <v>23</v>
      </c>
      <c r="D16" s="9" t="str">
        <f t="shared" si="0"/>
        <v>resumen_montos_facturados_TD_AR_CDpRGL_2503def.xlsx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resumen_montos_facturados_TD_AR_CDpRGL_2503def.xlsx</v>
      </c>
      <c r="E17" s="8" t="s">
        <v>24</v>
      </c>
      <c r="F17" s="10">
        <v>105789477.837</v>
      </c>
      <c r="G17" s="10">
        <v>550466328.64954495</v>
      </c>
      <c r="H17" s="10">
        <v>873990.5</v>
      </c>
      <c r="I17" s="10">
        <v>1595797.621</v>
      </c>
      <c r="J17" s="10">
        <v>463619729.32215422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resumen_montos_facturados_TD_AR_CDpRGL_2503def.xlsx</v>
      </c>
      <c r="E18" s="8" t="s">
        <v>25</v>
      </c>
      <c r="F18" s="10">
        <v>46012.999999999993</v>
      </c>
      <c r="G18" s="10">
        <v>291810</v>
      </c>
      <c r="H18" s="10">
        <v>0</v>
      </c>
      <c r="I18" s="10">
        <v>2047</v>
      </c>
      <c r="J18" s="10">
        <v>178962.43754639619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resumen_montos_facturados_TD_AR_CDpRGL_2503def.xlsx</v>
      </c>
      <c r="E19" s="8" t="s">
        <v>26</v>
      </c>
      <c r="F19" s="10">
        <v>37003444.303000003</v>
      </c>
      <c r="G19" s="10">
        <v>66992934.467</v>
      </c>
      <c r="H19" s="10">
        <v>990964.64199999999</v>
      </c>
      <c r="I19" s="10">
        <v>216428.342</v>
      </c>
      <c r="J19" s="10">
        <v>-78652656.980425775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resumen_montos_facturados_TD_AR_CDpRGL_2503def.xlsx</v>
      </c>
      <c r="E20" s="8" t="s">
        <v>27</v>
      </c>
      <c r="F20" s="10">
        <v>4648902.6469999999</v>
      </c>
      <c r="G20" s="10">
        <v>16498351.562000001</v>
      </c>
      <c r="H20" s="10">
        <v>0</v>
      </c>
      <c r="I20" s="10">
        <v>31365.406999999999</v>
      </c>
      <c r="J20" s="10">
        <v>17653686.756012291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resumen_montos_facturados_TD_AR_CDpRGL_2503def.xlsx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resumen_montos_facturados_TD_AR_CDpRGL_2503def.xlsx</v>
      </c>
      <c r="E22" s="8" t="s">
        <v>29</v>
      </c>
      <c r="F22" s="10">
        <v>2529575</v>
      </c>
      <c r="G22" s="10">
        <v>6943345</v>
      </c>
      <c r="H22" s="10">
        <v>512</v>
      </c>
      <c r="I22" s="10">
        <v>20437</v>
      </c>
      <c r="J22" s="10">
        <v>6615846.7900937106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resumen_montos_facturados_TD_AR_CDpRGL_2503def.xlsx</v>
      </c>
      <c r="E23" s="8" t="s">
        <v>30</v>
      </c>
      <c r="F23" s="10">
        <v>7634817</v>
      </c>
      <c r="G23" s="10">
        <v>15346168</v>
      </c>
      <c r="H23" s="10">
        <v>563296</v>
      </c>
      <c r="I23" s="10">
        <v>144432</v>
      </c>
      <c r="J23" s="10">
        <v>15375075.06452251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resumen_montos_facturados_TD_AR_CDpRGL_2503def.xlsx</v>
      </c>
      <c r="E24" s="8" t="s">
        <v>31</v>
      </c>
      <c r="F24" s="10">
        <v>1710055</v>
      </c>
      <c r="G24" s="10">
        <v>12801357</v>
      </c>
      <c r="H24" s="10">
        <v>23</v>
      </c>
      <c r="I24" s="10">
        <v>75415</v>
      </c>
      <c r="J24" s="10">
        <v>9523922.5410429388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resumen_montos_facturados_TD_AR_CDpRGL_2503def.xlsx</v>
      </c>
      <c r="E25" s="8" t="s">
        <v>32</v>
      </c>
      <c r="F25" s="10">
        <v>428150</v>
      </c>
      <c r="G25" s="10">
        <v>2819733</v>
      </c>
      <c r="H25" s="10">
        <v>224458</v>
      </c>
      <c r="I25" s="10">
        <v>18645</v>
      </c>
      <c r="J25" s="10">
        <v>2370191.6456319829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resumen_montos_facturados_TD_AR_CDpRGL_2503def.xlsx</v>
      </c>
      <c r="E26" s="8" t="s">
        <v>33</v>
      </c>
      <c r="F26" s="10">
        <v>1207749</v>
      </c>
      <c r="G26" s="10">
        <v>1958483</v>
      </c>
      <c r="H26" s="10">
        <v>123959</v>
      </c>
      <c r="I26" s="10">
        <v>14811</v>
      </c>
      <c r="J26" s="10">
        <v>2237538.5269340719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resumen_montos_facturados_TD_AR_CDpRGL_2503def.xlsx</v>
      </c>
      <c r="E27" s="8" t="s">
        <v>34</v>
      </c>
      <c r="F27" s="10">
        <v>4644915</v>
      </c>
      <c r="G27" s="10">
        <v>8092754</v>
      </c>
      <c r="H27" s="10">
        <v>413737</v>
      </c>
      <c r="I27" s="10">
        <v>95593</v>
      </c>
      <c r="J27" s="10">
        <v>7031249.3627414294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resumen_montos_facturados_TD_AR_CDpRGL_2503def.xlsx</v>
      </c>
      <c r="E28" s="8" t="s">
        <v>35</v>
      </c>
      <c r="F28" s="10">
        <v>23228606.84</v>
      </c>
      <c r="G28" s="10">
        <v>58052228.479999997</v>
      </c>
      <c r="H28" s="10">
        <v>344292.01699999999</v>
      </c>
      <c r="I28" s="10">
        <v>182052.5</v>
      </c>
      <c r="J28" s="10">
        <v>44915909.345070817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resumen_montos_facturados_TD_AR_CDpRGL_2503def.xlsx</v>
      </c>
      <c r="E29" s="8" t="s">
        <v>36</v>
      </c>
      <c r="F29" s="10">
        <v>10434754.33</v>
      </c>
      <c r="G29" s="10">
        <v>4082568.36</v>
      </c>
      <c r="H29" s="10">
        <v>204604.52</v>
      </c>
      <c r="I29" s="10">
        <v>19249</v>
      </c>
      <c r="J29" s="10">
        <v>10008355.094369181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resumen_montos_facturados_TD_AR_CDpRGL_2503def.xlsx</v>
      </c>
      <c r="E30" s="8" t="s">
        <v>37</v>
      </c>
      <c r="F30" s="10">
        <v>40664118.969999999</v>
      </c>
      <c r="G30" s="10">
        <v>90559490.280000001</v>
      </c>
      <c r="H30" s="10">
        <v>240297.55</v>
      </c>
      <c r="I30" s="10">
        <v>211339.80799999999</v>
      </c>
      <c r="J30" s="10">
        <v>88678921.276428923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resumen_montos_facturados_TD_AR_CDpRGL_2503def.xlsx</v>
      </c>
      <c r="E31" s="8" t="s">
        <v>38</v>
      </c>
      <c r="F31" s="10">
        <v>2219270</v>
      </c>
      <c r="G31" s="10">
        <v>2867470</v>
      </c>
      <c r="H31" s="10">
        <v>37197</v>
      </c>
      <c r="I31" s="10">
        <v>19109</v>
      </c>
      <c r="J31" s="10">
        <v>2970235.7776616728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resumen_montos_facturados_TD_AR_CDpRGL_2503def.xlsx</v>
      </c>
      <c r="E32" s="8" t="s">
        <v>39</v>
      </c>
      <c r="F32" s="10">
        <v>43366931.2927</v>
      </c>
      <c r="G32" s="10">
        <v>118633381.88410001</v>
      </c>
      <c r="H32" s="10">
        <v>2154770.7999999998</v>
      </c>
      <c r="I32" s="10">
        <v>739940.58109999995</v>
      </c>
      <c r="J32" s="10">
        <v>-122133951.4776118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resumen_montos_facturados_TD_AR_CDpRGL_2503def.xlsx</v>
      </c>
      <c r="E33" s="8" t="s">
        <v>40</v>
      </c>
      <c r="F33" s="10">
        <v>1599904</v>
      </c>
      <c r="G33" s="10">
        <v>2793061.7</v>
      </c>
      <c r="H33" s="10">
        <v>40216</v>
      </c>
      <c r="I33" s="10">
        <v>90763</v>
      </c>
      <c r="J33" s="10">
        <v>3124425.4811503608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resumen_montos_facturados_TD_AR_CDpRGL_2503def.xlsx</v>
      </c>
      <c r="E34" s="8" t="s">
        <v>41</v>
      </c>
      <c r="F34" s="10">
        <v>1328047.5</v>
      </c>
      <c r="G34" s="10">
        <v>9654550.4544999991</v>
      </c>
      <c r="H34" s="10">
        <v>4520</v>
      </c>
      <c r="I34" s="10">
        <v>40135.199999999997</v>
      </c>
      <c r="J34" s="10">
        <v>7928851.6296286909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resumen_montos_facturados_TD_AR_CDpRGL_2503def.xlsx</v>
      </c>
      <c r="E35" s="8" t="s">
        <v>42</v>
      </c>
      <c r="F35" s="10">
        <v>5920564.7000000002</v>
      </c>
      <c r="G35" s="10">
        <v>6370444.5549999997</v>
      </c>
      <c r="H35" s="10">
        <v>251144</v>
      </c>
      <c r="I35" s="10">
        <v>28672.674900000002</v>
      </c>
      <c r="J35" s="10">
        <v>7196736.6489186063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resumen_montos_facturados_TD_AR_CDpRGL_2503def.xlsx</v>
      </c>
      <c r="E36" s="8" t="s">
        <v>43</v>
      </c>
      <c r="F36" s="10">
        <v>11293541.5</v>
      </c>
      <c r="G36" s="10">
        <v>5362850.2964000003</v>
      </c>
      <c r="H36" s="10">
        <v>339324</v>
      </c>
      <c r="I36" s="10">
        <v>77313.899999999994</v>
      </c>
      <c r="J36" s="10">
        <v>9963273.1937409192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resumen_montos_facturados_TD_AR_CDpRGL_2503def.xlsx</v>
      </c>
      <c r="E37" s="8" t="s">
        <v>45</v>
      </c>
      <c r="F37" s="10">
        <v>435933.99999999988</v>
      </c>
      <c r="G37" s="10">
        <v>919290</v>
      </c>
      <c r="H37" s="10">
        <v>43245</v>
      </c>
      <c r="I37" s="10">
        <v>12427</v>
      </c>
      <c r="J37" s="10">
        <v>931315.02514265734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resumen_montos_facturados_TD_AR_CDpRGL_2503def.xlsx</v>
      </c>
      <c r="E38" s="8" t="s">
        <v>46</v>
      </c>
      <c r="F38" s="10">
        <v>4512098.3830000004</v>
      </c>
      <c r="G38" s="10">
        <v>17811131.941</v>
      </c>
      <c r="H38" s="10">
        <v>13458</v>
      </c>
      <c r="I38" s="10">
        <v>42244.014000000003</v>
      </c>
      <c r="J38" s="10">
        <v>15492493.16754091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resumen_montos_facturados_TD_AR_CDpRGL_2503def.xlsx</v>
      </c>
      <c r="E39" s="8" t="s">
        <v>47</v>
      </c>
      <c r="F39" s="10">
        <v>6283946.3530000001</v>
      </c>
      <c r="G39" s="10">
        <v>27286382.329</v>
      </c>
      <c r="H39" s="10">
        <v>12570.960999999999</v>
      </c>
      <c r="I39" s="10">
        <v>20482.008000000002</v>
      </c>
      <c r="J39" s="10">
        <v>21813574.813678492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resumen_montos_facturados_TD_AR_CDpRGL_2503def.xlsx</v>
      </c>
      <c r="E40" s="8" t="s">
        <v>48</v>
      </c>
      <c r="F40" s="10">
        <v>14651117.562000001</v>
      </c>
      <c r="G40" s="10">
        <v>47142862.340291329</v>
      </c>
      <c r="H40" s="10">
        <v>45278.1</v>
      </c>
      <c r="I40" s="10">
        <v>62467.421000000002</v>
      </c>
      <c r="J40" s="10">
        <v>-120300905.26644351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resumen_montos_facturados_TD_AR_CDpRGL_2503def.xlsx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resumen_montos_facturados_TD_AR_CDpRGL_2503def.xlsx</v>
      </c>
      <c r="E42" s="8" t="s">
        <v>50</v>
      </c>
      <c r="F42" s="10">
        <v>0</v>
      </c>
      <c r="G42" s="10">
        <v>11968</v>
      </c>
      <c r="H42" s="10">
        <v>0</v>
      </c>
      <c r="I42" s="10">
        <v>0</v>
      </c>
      <c r="J42" s="10">
        <v>12646.155589759999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resumen_montos_facturados_TD_AR_CDpRGL_2503def.xlsx</v>
      </c>
      <c r="E43" s="8" t="s">
        <v>51</v>
      </c>
      <c r="F43" s="10">
        <v>32785.800000000003</v>
      </c>
      <c r="G43" s="10">
        <v>63849.4</v>
      </c>
      <c r="H43" s="10">
        <v>0</v>
      </c>
      <c r="I43" s="10">
        <v>0</v>
      </c>
      <c r="J43" s="10">
        <v>-2555848.662296616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558796905.73070002</v>
      </c>
      <c r="G44" s="16">
        <f>SUM(G8:G43)</f>
        <v>1537318590.6478362</v>
      </c>
      <c r="H44" s="16">
        <f>SUM(H8:H43)</f>
        <v>11776268.979</v>
      </c>
      <c r="I44" s="16">
        <f>SUM(I8:I43)</f>
        <v>5585086.0030000014</v>
      </c>
      <c r="J44" s="16">
        <f>SUM(J8:J43)</f>
        <v>63706265.676019095</v>
      </c>
      <c r="K44" s="11"/>
      <c r="L44" s="11"/>
      <c r="M44" s="12"/>
      <c r="N44" s="12"/>
    </row>
    <row r="45" spans="2:14" x14ac:dyDescent="0.2">
      <c r="M45" s="12"/>
      <c r="N45" s="12"/>
    </row>
    <row r="46" spans="2:14" x14ac:dyDescent="0.2">
      <c r="F46" s="18"/>
      <c r="G46" s="18"/>
      <c r="H46" s="18"/>
      <c r="I46" s="18"/>
      <c r="J46" s="18"/>
      <c r="N46" s="12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D1BB-AB4C-41D1-8655-0DD2C68E4A19}">
  <sheetPr codeName="Hoja9">
    <tabColor theme="6" tint="0.59999389629810485"/>
  </sheetPr>
  <dimension ref="B2:R53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20"/>
    <col min="2" max="2" width="21" style="20" customWidth="1"/>
    <col min="3" max="3" width="14.28515625" style="20" bestFit="1" customWidth="1"/>
    <col min="4" max="4" width="15.42578125" style="20" bestFit="1" customWidth="1"/>
    <col min="5" max="5" width="13.5703125" style="20" customWidth="1"/>
    <col min="6" max="6" width="13.7109375" style="20" customWidth="1"/>
    <col min="7" max="7" width="11.5703125" style="20" bestFit="1" customWidth="1"/>
    <col min="8" max="8" width="13.42578125" style="20" bestFit="1" customWidth="1"/>
    <col min="9" max="9" width="16.140625" style="20" bestFit="1" customWidth="1"/>
    <col min="10" max="10" width="17.140625" style="20" customWidth="1"/>
    <col min="11" max="11" width="16.140625" style="20" customWidth="1"/>
    <col min="12" max="12" width="14.5703125" style="20" bestFit="1" customWidth="1"/>
    <col min="13" max="13" width="22.85546875" style="20" bestFit="1" customWidth="1"/>
    <col min="14" max="14" width="15.85546875" style="20" bestFit="1" customWidth="1"/>
    <col min="15" max="15" width="21.85546875" style="20" customWidth="1"/>
    <col min="16" max="16" width="18.28515625" style="20" customWidth="1"/>
    <col min="17" max="17" width="14.42578125" style="20" customWidth="1"/>
    <col min="18" max="16384" width="11.42578125" style="20"/>
  </cols>
  <sheetData>
    <row r="2" spans="2:18" x14ac:dyDescent="0.2">
      <c r="B2" s="19" t="s">
        <v>56</v>
      </c>
      <c r="C2" s="19"/>
      <c r="D2" s="19"/>
    </row>
    <row r="3" spans="2:18" x14ac:dyDescent="0.2">
      <c r="B3" s="21">
        <f>FechaFacturacion</f>
        <v>45717</v>
      </c>
      <c r="C3" s="22"/>
      <c r="D3" s="22"/>
      <c r="I3" s="23" t="s">
        <v>57</v>
      </c>
      <c r="J3" s="24"/>
      <c r="K3" s="24"/>
    </row>
    <row r="4" spans="2:18" x14ac:dyDescent="0.2">
      <c r="B4" s="25"/>
      <c r="D4" s="22"/>
      <c r="I4" s="26">
        <v>5.0391937290035216E-3</v>
      </c>
      <c r="J4" s="27"/>
      <c r="K4" s="27"/>
      <c r="L4" s="28"/>
    </row>
    <row r="6" spans="2:18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53</v>
      </c>
      <c r="H6" s="29" t="str">
        <f>"Saldo "&amp;TEXT(B3-1,"mmmmmmmmmm")</f>
        <v>Saldo febrero</v>
      </c>
      <c r="I6" s="29" t="s">
        <v>58</v>
      </c>
      <c r="J6" s="29" t="s">
        <v>59</v>
      </c>
      <c r="K6" s="29" t="s">
        <v>60</v>
      </c>
      <c r="L6" s="30" t="s">
        <v>61</v>
      </c>
      <c r="M6" s="29" t="s">
        <v>62</v>
      </c>
      <c r="N6" s="31" t="s">
        <v>63</v>
      </c>
      <c r="O6" s="29" t="s">
        <v>64</v>
      </c>
      <c r="P6" s="29" t="s">
        <v>65</v>
      </c>
      <c r="R6" s="32"/>
    </row>
    <row r="7" spans="2:18" ht="12.75" customHeight="1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8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/>
      <c r="K8" s="37"/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8" x14ac:dyDescent="0.2">
      <c r="B9" s="40" t="s">
        <v>14</v>
      </c>
      <c r="C9" s="41">
        <f>SUMIF('Entrada TD'!$E$8:$E$43,'Reliquidación TD'!$B9,'Entrada TD'!F$8:F$43)</f>
        <v>5156215</v>
      </c>
      <c r="D9" s="41">
        <f>SUMIF('Entrada TD'!$E$8:$E$43,'Reliquidación TD'!$B9,'Entrada TD'!G$8:G$43)</f>
        <v>3378140</v>
      </c>
      <c r="E9" s="41">
        <f>SUMIF('Entrada TD'!$E$8:$E$43,'Reliquidación TD'!$B9,'Entrada TD'!H$8:H$43)</f>
        <v>178359</v>
      </c>
      <c r="F9" s="41">
        <f>SUMIF('Entrada TD'!$E$8:$E$43,'Reliquidación TD'!$B9,'Entrada TD'!I$8:I$43)</f>
        <v>51193</v>
      </c>
      <c r="G9" s="41">
        <f>SUMIF('Entrada TD'!$E$8:$E$43,'Reliquidación TD'!$B9,'Entrada TD'!J$8:J$43)</f>
        <v>0</v>
      </c>
      <c r="H9" s="41">
        <v>0</v>
      </c>
      <c r="I9" s="41">
        <f t="shared" ref="I9:I43" si="0">H9*($I$4+1)</f>
        <v>0</v>
      </c>
      <c r="J9" s="41">
        <v>0</v>
      </c>
      <c r="K9" s="41">
        <f>+J9*($I$4+1)</f>
        <v>0</v>
      </c>
      <c r="L9" s="41">
        <f>+G9+K9</f>
        <v>0</v>
      </c>
      <c r="M9" s="41">
        <f>IF(L9&lt;0,-L9,0)</f>
        <v>0</v>
      </c>
      <c r="N9" s="41">
        <f>IF(L9&gt;0,L9,0)</f>
        <v>0</v>
      </c>
      <c r="O9" s="41">
        <f t="shared" ref="O9:O43" si="1">IF(OR($M$44=0,$N$44=0),0,(M9/$M$44-N9/$N$44)*$N$49)</f>
        <v>0</v>
      </c>
      <c r="P9" s="41">
        <f t="shared" ref="P9:P43" si="2">L9+O9</f>
        <v>0</v>
      </c>
    </row>
    <row r="10" spans="2:18" x14ac:dyDescent="0.2">
      <c r="B10" s="42" t="s">
        <v>15</v>
      </c>
      <c r="C10" s="43">
        <f>SUMIF('Entrada TD'!$E$8:$E$43,'Reliquidación TD'!$B10,'Entrada TD'!F$8:F$43)</f>
        <v>1096154</v>
      </c>
      <c r="D10" s="43">
        <f>SUMIF('Entrada TD'!$E$8:$E$43,'Reliquidación TD'!$B10,'Entrada TD'!G$8:G$43)</f>
        <v>4377593</v>
      </c>
      <c r="E10" s="43">
        <f>SUMIF('Entrada TD'!$E$8:$E$43,'Reliquidación TD'!$B10,'Entrada TD'!H$8:H$43)</f>
        <v>1652</v>
      </c>
      <c r="F10" s="43">
        <f>SUMIF('Entrada TD'!$E$8:$E$43,'Reliquidación TD'!$B10,'Entrada TD'!I$8:I$43)</f>
        <v>29639</v>
      </c>
      <c r="G10" s="43">
        <f>SUMIF('Entrada TD'!$E$8:$E$43,'Reliquidación TD'!$B10,'Entrada TD'!J$8:J$43)</f>
        <v>0</v>
      </c>
      <c r="H10" s="43">
        <v>0</v>
      </c>
      <c r="I10" s="43">
        <f t="shared" si="0"/>
        <v>0</v>
      </c>
      <c r="J10" s="43">
        <v>0</v>
      </c>
      <c r="K10" s="43">
        <f t="shared" ref="K10:K43" si="3">+J10*($I$4+1)</f>
        <v>0</v>
      </c>
      <c r="L10" s="43">
        <f t="shared" ref="L10:L43" si="4">+G10+K10</f>
        <v>0</v>
      </c>
      <c r="M10" s="43">
        <f t="shared" ref="M10:M43" si="5">IF(L10&lt;0,-L10,0)</f>
        <v>0</v>
      </c>
      <c r="N10" s="43">
        <f t="shared" ref="N10:N43" si="6">IF(L10&gt;0,L10,0)</f>
        <v>0</v>
      </c>
      <c r="O10" s="43">
        <f t="shared" si="1"/>
        <v>0</v>
      </c>
      <c r="P10" s="43">
        <f t="shared" si="2"/>
        <v>0</v>
      </c>
    </row>
    <row r="11" spans="2:18" x14ac:dyDescent="0.2">
      <c r="B11" s="42" t="s">
        <v>16</v>
      </c>
      <c r="C11" s="43">
        <f>SUMIF('Entrada TD'!$E$8:$E$43,'Reliquidación TD'!$B11,'Entrada TD'!F$8:F$43)</f>
        <v>1794659.36</v>
      </c>
      <c r="D11" s="43">
        <f>SUMIF('Entrada TD'!$E$8:$E$43,'Reliquidación TD'!$B11,'Entrada TD'!G$8:G$43)</f>
        <v>5969691.0329999998</v>
      </c>
      <c r="E11" s="43">
        <f>SUMIF('Entrada TD'!$E$8:$E$43,'Reliquidación TD'!$B11,'Entrada TD'!H$8:H$43)</f>
        <v>0</v>
      </c>
      <c r="F11" s="43">
        <f>SUMIF('Entrada TD'!$E$8:$E$43,'Reliquidación TD'!$B11,'Entrada TD'!I$8:I$43)</f>
        <v>24727</v>
      </c>
      <c r="G11" s="43">
        <f>SUMIF('Entrada TD'!$E$8:$E$43,'Reliquidación TD'!$B11,'Entrada TD'!J$8:J$43)</f>
        <v>0</v>
      </c>
      <c r="H11" s="43">
        <v>0</v>
      </c>
      <c r="I11" s="43">
        <f t="shared" si="0"/>
        <v>0</v>
      </c>
      <c r="J11" s="43">
        <v>61029974.858877964</v>
      </c>
      <c r="K11" s="43">
        <f>+J11*($I$4+1)</f>
        <v>61337516.725468062</v>
      </c>
      <c r="L11" s="43">
        <f t="shared" si="4"/>
        <v>61337516.725468062</v>
      </c>
      <c r="M11" s="43">
        <f t="shared" si="5"/>
        <v>0</v>
      </c>
      <c r="N11" s="43">
        <f t="shared" si="6"/>
        <v>61337516.725468062</v>
      </c>
      <c r="O11" s="43">
        <f t="shared" si="1"/>
        <v>-179101.6958384903</v>
      </c>
      <c r="P11" s="43">
        <f t="shared" si="2"/>
        <v>61158415.029629573</v>
      </c>
    </row>
    <row r="12" spans="2:18" x14ac:dyDescent="0.2">
      <c r="B12" s="42" t="s">
        <v>17</v>
      </c>
      <c r="C12" s="43">
        <f>SUMIF('Entrada TD'!$E$8:$E$43,'Reliquidación TD'!$B12,'Entrada TD'!F$8:F$43)</f>
        <v>484040</v>
      </c>
      <c r="D12" s="43">
        <f>SUMIF('Entrada TD'!$E$8:$E$43,'Reliquidación TD'!$B12,'Entrada TD'!G$8:G$43)</f>
        <v>1275896</v>
      </c>
      <c r="E12" s="43">
        <f>SUMIF('Entrada TD'!$E$8:$E$43,'Reliquidación TD'!$B12,'Entrada TD'!H$8:H$43)</f>
        <v>0</v>
      </c>
      <c r="F12" s="43">
        <f>SUMIF('Entrada TD'!$E$8:$E$43,'Reliquidación TD'!$B12,'Entrada TD'!I$8:I$43)</f>
        <v>0</v>
      </c>
      <c r="G12" s="43">
        <f>SUMIF('Entrada TD'!$E$8:$E$43,'Reliquidación TD'!$B12,'Entrada TD'!J$8:J$43)</f>
        <v>0</v>
      </c>
      <c r="H12" s="43">
        <v>0</v>
      </c>
      <c r="I12" s="43">
        <f t="shared" si="0"/>
        <v>0</v>
      </c>
      <c r="J12" s="43">
        <v>0</v>
      </c>
      <c r="K12" s="43">
        <f t="shared" si="3"/>
        <v>0</v>
      </c>
      <c r="L12" s="43">
        <f t="shared" si="4"/>
        <v>0</v>
      </c>
      <c r="M12" s="43">
        <f t="shared" si="5"/>
        <v>0</v>
      </c>
      <c r="N12" s="43">
        <f t="shared" si="6"/>
        <v>0</v>
      </c>
      <c r="O12" s="43">
        <f t="shared" si="1"/>
        <v>0</v>
      </c>
      <c r="P12" s="43">
        <f t="shared" si="2"/>
        <v>0</v>
      </c>
    </row>
    <row r="13" spans="2:18" x14ac:dyDescent="0.2">
      <c r="B13" s="42" t="s">
        <v>18</v>
      </c>
      <c r="C13" s="43">
        <f>SUMIF('Entrada TD'!$E$8:$E$43,'Reliquidación TD'!$B13,'Entrada TD'!F$8:F$43)</f>
        <v>205758641.80500001</v>
      </c>
      <c r="D13" s="43">
        <f>SUMIF('Entrada TD'!$E$8:$E$43,'Reliquidación TD'!$B13,'Entrada TD'!G$8:G$43)</f>
        <v>428742887.85100001</v>
      </c>
      <c r="E13" s="43">
        <f>SUMIF('Entrada TD'!$E$8:$E$43,'Reliquidación TD'!$B13,'Entrada TD'!H$8:H$43)</f>
        <v>4367319.7060000002</v>
      </c>
      <c r="F13" s="43">
        <f>SUMIF('Entrada TD'!$E$8:$E$43,'Reliquidación TD'!$B13,'Entrada TD'!I$8:I$43)</f>
        <v>1666562.73</v>
      </c>
      <c r="G13" s="43">
        <f>SUMIF('Entrada TD'!$E$8:$E$43,'Reliquidación TD'!$B13,'Entrada TD'!J$8:J$43)</f>
        <v>1419675.181072759</v>
      </c>
      <c r="H13" s="43">
        <v>0</v>
      </c>
      <c r="I13" s="43">
        <f t="shared" si="0"/>
        <v>0</v>
      </c>
      <c r="J13" s="43">
        <v>0</v>
      </c>
      <c r="K13" s="43">
        <f t="shared" si="3"/>
        <v>0</v>
      </c>
      <c r="L13" s="43">
        <f t="shared" si="4"/>
        <v>1419675.181072759</v>
      </c>
      <c r="M13" s="43">
        <f t="shared" si="5"/>
        <v>0</v>
      </c>
      <c r="N13" s="43">
        <f t="shared" si="6"/>
        <v>1419675.181072759</v>
      </c>
      <c r="O13" s="43">
        <f t="shared" si="1"/>
        <v>-4145.3623498972302</v>
      </c>
      <c r="P13" s="43">
        <f t="shared" si="2"/>
        <v>1415529.8187228618</v>
      </c>
    </row>
    <row r="14" spans="2:18" x14ac:dyDescent="0.2">
      <c r="B14" s="42" t="s">
        <v>20</v>
      </c>
      <c r="C14" s="43">
        <f>SUMIF('Entrada TD'!$E$8:$E$43,'Reliquidación TD'!$B14,'Entrada TD'!F$8:F$43)</f>
        <v>259592.5</v>
      </c>
      <c r="D14" s="43">
        <f>SUMIF('Entrada TD'!$E$8:$E$43,'Reliquidación TD'!$B14,'Entrada TD'!G$8:G$43)</f>
        <v>880990.46799999999</v>
      </c>
      <c r="E14" s="43">
        <f>SUMIF('Entrada TD'!$E$8:$E$43,'Reliquidación TD'!$B14,'Entrada TD'!H$8:H$43)</f>
        <v>0</v>
      </c>
      <c r="F14" s="43">
        <f>SUMIF('Entrada TD'!$E$8:$E$43,'Reliquidación TD'!$B14,'Entrada TD'!I$8:I$43)</f>
        <v>0</v>
      </c>
      <c r="G14" s="43">
        <f>SUMIF('Entrada TD'!$E$8:$E$43,'Reliquidación TD'!$B14,'Entrada TD'!J$8:J$43)</f>
        <v>0</v>
      </c>
      <c r="H14" s="43">
        <v>0</v>
      </c>
      <c r="I14" s="43">
        <f>H14*($I$4+1)</f>
        <v>0</v>
      </c>
      <c r="J14" s="43">
        <v>0</v>
      </c>
      <c r="K14" s="43">
        <f t="shared" si="3"/>
        <v>0</v>
      </c>
      <c r="L14" s="43">
        <f t="shared" si="4"/>
        <v>0</v>
      </c>
      <c r="M14" s="43">
        <f t="shared" si="5"/>
        <v>0</v>
      </c>
      <c r="N14" s="43">
        <f t="shared" si="6"/>
        <v>0</v>
      </c>
      <c r="O14" s="43">
        <f t="shared" si="1"/>
        <v>0</v>
      </c>
      <c r="P14" s="43">
        <f t="shared" si="2"/>
        <v>0</v>
      </c>
    </row>
    <row r="15" spans="2:18" x14ac:dyDescent="0.2">
      <c r="B15" s="42" t="s">
        <v>21</v>
      </c>
      <c r="C15" s="43">
        <f>SUMIF('Entrada TD'!$E$8:$E$43,'Reliquidación TD'!$B15,'Entrada TD'!F$8:F$43)</f>
        <v>12632883.048</v>
      </c>
      <c r="D15" s="43">
        <f>SUMIF('Entrada TD'!$E$8:$E$43,'Reliquidación TD'!$B15,'Entrada TD'!G$8:G$43)</f>
        <v>18870597.596999999</v>
      </c>
      <c r="E15" s="43">
        <f>SUMIF('Entrada TD'!$E$8:$E$43,'Reliquidación TD'!$B15,'Entrada TD'!H$8:H$43)</f>
        <v>307080.18300000002</v>
      </c>
      <c r="F15" s="43">
        <f>SUMIF('Entrada TD'!$E$8:$E$43,'Reliquidación TD'!$B15,'Entrada TD'!I$8:I$43)</f>
        <v>51796.796000000002</v>
      </c>
      <c r="G15" s="43">
        <f>SUMIF('Entrada TD'!$E$8:$E$43,'Reliquidación TD'!$B15,'Entrada TD'!J$8:J$43)</f>
        <v>-49109.571509007081</v>
      </c>
      <c r="H15" s="43">
        <v>0</v>
      </c>
      <c r="I15" s="43">
        <f t="shared" si="0"/>
        <v>0</v>
      </c>
      <c r="J15" s="43">
        <v>0</v>
      </c>
      <c r="K15" s="43">
        <f t="shared" si="3"/>
        <v>0</v>
      </c>
      <c r="L15" s="43">
        <f t="shared" si="4"/>
        <v>-49109.571509007081</v>
      </c>
      <c r="M15" s="43">
        <f t="shared" si="5"/>
        <v>49109.571509007081</v>
      </c>
      <c r="N15" s="43">
        <f t="shared" si="6"/>
        <v>0</v>
      </c>
      <c r="O15" s="43">
        <f t="shared" si="1"/>
        <v>49109.571509007081</v>
      </c>
      <c r="P15" s="43">
        <f t="shared" si="2"/>
        <v>0</v>
      </c>
    </row>
    <row r="16" spans="2:18" x14ac:dyDescent="0.2">
      <c r="B16" s="42" t="s">
        <v>22</v>
      </c>
      <c r="C16" s="43">
        <f>SUMIF('Entrada TD'!$E$8:$E$43,'Reliquidación TD'!$B16,'Entrada TD'!F$8:F$43)</f>
        <v>0</v>
      </c>
      <c r="D16" s="43">
        <f>SUMIF('Entrada TD'!$E$8:$E$43,'Reliquidación TD'!$B16,'Entrada TD'!G$8:G$43)</f>
        <v>0</v>
      </c>
      <c r="E16" s="43">
        <f>SUMIF('Entrada TD'!$E$8:$E$43,'Reliquidación TD'!$B16,'Entrada TD'!H$8:H$43)</f>
        <v>0</v>
      </c>
      <c r="F16" s="43">
        <f>SUMIF('Entrada TD'!$E$8:$E$43,'Reliquidación TD'!$B16,'Entrada TD'!I$8:I$43)</f>
        <v>0</v>
      </c>
      <c r="G16" s="43">
        <f>SUMIF('Entrada TD'!$E$8:$E$43,'Reliquidación TD'!$B16,'Entrada TD'!J$8:J$43)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3"/>
        <v>0</v>
      </c>
      <c r="L16" s="43">
        <f t="shared" si="4"/>
        <v>0</v>
      </c>
      <c r="M16" s="43">
        <f t="shared" si="5"/>
        <v>0</v>
      </c>
      <c r="N16" s="43">
        <f t="shared" si="6"/>
        <v>0</v>
      </c>
      <c r="O16" s="43">
        <f t="shared" si="1"/>
        <v>0</v>
      </c>
      <c r="P16" s="43">
        <f t="shared" si="2"/>
        <v>0</v>
      </c>
    </row>
    <row r="17" spans="2:16" x14ac:dyDescent="0.2">
      <c r="B17" s="42" t="s">
        <v>23</v>
      </c>
      <c r="C17" s="43">
        <f>SUMIF('Entrada TD'!$E$8:$E$43,'Reliquidación TD'!$B17,'Entrada TD'!F$8:F$43)</f>
        <v>0</v>
      </c>
      <c r="D17" s="43">
        <f>SUMIF('Entrada TD'!$E$8:$E$43,'Reliquidación TD'!$B17,'Entrada TD'!G$8:G$43)</f>
        <v>0</v>
      </c>
      <c r="E17" s="43">
        <f>SUMIF('Entrada TD'!$E$8:$E$43,'Reliquidación TD'!$B17,'Entrada TD'!H$8:H$43)</f>
        <v>0</v>
      </c>
      <c r="F17" s="43">
        <f>SUMIF('Entrada TD'!$E$8:$E$43,'Reliquidación TD'!$B17,'Entrada TD'!I$8:I$43)</f>
        <v>0</v>
      </c>
      <c r="G17" s="43">
        <f>SUMIF('Entrada TD'!$E$8:$E$43,'Reliquidación TD'!$B17,'Entrada TD'!J$8:J$43)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3"/>
        <v>0</v>
      </c>
      <c r="L17" s="43">
        <f t="shared" si="4"/>
        <v>0</v>
      </c>
      <c r="M17" s="43">
        <f t="shared" si="5"/>
        <v>0</v>
      </c>
      <c r="N17" s="43">
        <f t="shared" si="6"/>
        <v>0</v>
      </c>
      <c r="O17" s="43">
        <f t="shared" si="1"/>
        <v>0</v>
      </c>
      <c r="P17" s="43">
        <f t="shared" si="2"/>
        <v>0</v>
      </c>
    </row>
    <row r="18" spans="2:16" x14ac:dyDescent="0.2">
      <c r="B18" s="42" t="s">
        <v>24</v>
      </c>
      <c r="C18" s="43">
        <f>SUMIF('Entrada TD'!$E$8:$E$43,'Reliquidación TD'!$B18,'Entrada TD'!F$8:F$43)+SUMIF('Entrada TD'!$E$8:$E$43,"LUZ ANDES",'Entrada TD'!F$8:F$43)</f>
        <v>105835490.837</v>
      </c>
      <c r="D18" s="43">
        <f>SUMIF('Entrada TD'!$E$8:$E$43,'Reliquidación TD'!$B18,'Entrada TD'!G$8:G$43)+SUMIF('Entrada TD'!$E$8:$E$43,"LUZ ANDES",'Entrada TD'!G$8:G$43)</f>
        <v>550758138.64954495</v>
      </c>
      <c r="E18" s="43">
        <f>SUMIF('Entrada TD'!$E$8:$E$43,'Reliquidación TD'!$B18,'Entrada TD'!H$8:H$43)+SUMIF('Entrada TD'!$E$8:$E$43,"LUZ ANDES",'Entrada TD'!H$8:H$43)</f>
        <v>873990.5</v>
      </c>
      <c r="F18" s="43">
        <f>SUMIF('Entrada TD'!$E$8:$E$43,'Reliquidación TD'!$B18,'Entrada TD'!I$8:I$43)+SUMIF('Entrada TD'!$E$8:$E$43,"LUZ ANDES",'Entrada TD'!I$8:I$43)</f>
        <v>1597844.621</v>
      </c>
      <c r="G18" s="43">
        <f>SUMIF('Entrada TD'!$E$8:$E$43,'Reliquidación TD'!$B18,'Entrada TD'!J$8:J$43)+SUMIF('Entrada TD'!$E$8:$E$43,"LUZ ANDES",'Entrada TD'!J$8:J$43)</f>
        <v>1001060.621706838</v>
      </c>
      <c r="H18" s="43">
        <v>0</v>
      </c>
      <c r="I18" s="43">
        <f t="shared" si="0"/>
        <v>0</v>
      </c>
      <c r="J18" s="43">
        <v>0</v>
      </c>
      <c r="K18" s="43">
        <f t="shared" si="3"/>
        <v>0</v>
      </c>
      <c r="L18" s="43">
        <f t="shared" si="4"/>
        <v>1001060.621706838</v>
      </c>
      <c r="M18" s="43">
        <f t="shared" si="5"/>
        <v>0</v>
      </c>
      <c r="N18" s="43">
        <f t="shared" si="6"/>
        <v>1001060.621706838</v>
      </c>
      <c r="O18" s="43">
        <f t="shared" si="1"/>
        <v>-2923.0341323939533</v>
      </c>
      <c r="P18" s="43">
        <f t="shared" si="2"/>
        <v>998137.58757444401</v>
      </c>
    </row>
    <row r="19" spans="2:16" x14ac:dyDescent="0.2">
      <c r="B19" s="42" t="s">
        <v>26</v>
      </c>
      <c r="C19" s="43">
        <f>SUMIF('Entrada TD'!$E$8:$E$43,'Reliquidación TD'!$B19,'Entrada TD'!F$8:F$43)</f>
        <v>37003444.303000003</v>
      </c>
      <c r="D19" s="43">
        <f>SUMIF('Entrada TD'!$E$8:$E$43,'Reliquidación TD'!$B19,'Entrada TD'!G$8:G$43)</f>
        <v>66992934.467</v>
      </c>
      <c r="E19" s="43">
        <f>SUMIF('Entrada TD'!$E$8:$E$43,'Reliquidación TD'!$B19,'Entrada TD'!H$8:H$43)</f>
        <v>990964.64199999999</v>
      </c>
      <c r="F19" s="43">
        <f>SUMIF('Entrada TD'!$E$8:$E$43,'Reliquidación TD'!$B19,'Entrada TD'!I$8:I$43)</f>
        <v>216428.342</v>
      </c>
      <c r="G19" s="43">
        <f>SUMIF('Entrada TD'!$E$8:$E$43,'Reliquidación TD'!$B19,'Entrada TD'!J$8:J$43)</f>
        <v>-42654.48450184839</v>
      </c>
      <c r="H19" s="43">
        <v>0</v>
      </c>
      <c r="I19" s="43">
        <f t="shared" si="0"/>
        <v>0</v>
      </c>
      <c r="J19" s="43">
        <v>0</v>
      </c>
      <c r="K19" s="43">
        <f t="shared" si="3"/>
        <v>0</v>
      </c>
      <c r="L19" s="43">
        <f t="shared" si="4"/>
        <v>-42654.48450184839</v>
      </c>
      <c r="M19" s="43">
        <f t="shared" si="5"/>
        <v>42654.48450184839</v>
      </c>
      <c r="N19" s="43">
        <f t="shared" si="6"/>
        <v>0</v>
      </c>
      <c r="O19" s="43">
        <f t="shared" si="1"/>
        <v>42654.48450184839</v>
      </c>
      <c r="P19" s="43">
        <f t="shared" si="2"/>
        <v>0</v>
      </c>
    </row>
    <row r="20" spans="2:16" x14ac:dyDescent="0.2">
      <c r="B20" s="42" t="s">
        <v>27</v>
      </c>
      <c r="C20" s="43">
        <f>SUMIF('Entrada TD'!$E$8:$E$43,'Reliquidación TD'!$B20,'Entrada TD'!F$8:F$43)</f>
        <v>4648902.6469999999</v>
      </c>
      <c r="D20" s="43">
        <f>SUMIF('Entrada TD'!$E$8:$E$43,'Reliquidación TD'!$B20,'Entrada TD'!G$8:G$43)</f>
        <v>16498351.562000001</v>
      </c>
      <c r="E20" s="43">
        <f>SUMIF('Entrada TD'!$E$8:$E$43,'Reliquidación TD'!$B20,'Entrada TD'!H$8:H$43)</f>
        <v>0</v>
      </c>
      <c r="F20" s="43">
        <f>SUMIF('Entrada TD'!$E$8:$E$43,'Reliquidación TD'!$B20,'Entrada TD'!I$8:I$43)</f>
        <v>31365.406999999999</v>
      </c>
      <c r="G20" s="43">
        <f>SUMIF('Entrada TD'!$E$8:$E$43,'Reliquidación TD'!$B20,'Entrada TD'!J$8:J$43)</f>
        <v>789.20907439692144</v>
      </c>
      <c r="H20" s="43">
        <v>0</v>
      </c>
      <c r="I20" s="43">
        <f t="shared" si="0"/>
        <v>0</v>
      </c>
      <c r="J20" s="43">
        <v>0</v>
      </c>
      <c r="K20" s="43">
        <f t="shared" si="3"/>
        <v>0</v>
      </c>
      <c r="L20" s="43">
        <f t="shared" si="4"/>
        <v>789.20907439692144</v>
      </c>
      <c r="M20" s="43">
        <f t="shared" si="5"/>
        <v>0</v>
      </c>
      <c r="N20" s="43">
        <f t="shared" si="6"/>
        <v>789.20907439692144</v>
      </c>
      <c r="O20" s="43">
        <f t="shared" si="1"/>
        <v>-2.304440921993248</v>
      </c>
      <c r="P20" s="43">
        <f t="shared" si="2"/>
        <v>786.90463347492823</v>
      </c>
    </row>
    <row r="21" spans="2:16" x14ac:dyDescent="0.2">
      <c r="B21" s="42" t="s">
        <v>28</v>
      </c>
      <c r="C21" s="43">
        <f>SUMIF('Entrada TD'!$E$8:$E$43,'Reliquidación TD'!$B21,'Entrada TD'!F$8:F$43)</f>
        <v>0</v>
      </c>
      <c r="D21" s="43">
        <f>SUMIF('Entrada TD'!$E$8:$E$43,'Reliquidación TD'!$B21,'Entrada TD'!G$8:G$43)</f>
        <v>0</v>
      </c>
      <c r="E21" s="43">
        <f>SUMIF('Entrada TD'!$E$8:$E$43,'Reliquidación TD'!$B21,'Entrada TD'!H$8:H$43)</f>
        <v>0</v>
      </c>
      <c r="F21" s="43">
        <f>SUMIF('Entrada TD'!$E$8:$E$43,'Reliquidación TD'!$B21,'Entrada TD'!I$8:I$43)</f>
        <v>0</v>
      </c>
      <c r="G21" s="43">
        <f>SUMIF('Entrada TD'!$E$8:$E$43,'Reliquidación TD'!$B21,'Entrada TD'!J$8:J$43)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3"/>
        <v>0</v>
      </c>
      <c r="L21" s="43">
        <f t="shared" si="4"/>
        <v>0</v>
      </c>
      <c r="M21" s="43">
        <f t="shared" si="5"/>
        <v>0</v>
      </c>
      <c r="N21" s="43">
        <f t="shared" si="6"/>
        <v>0</v>
      </c>
      <c r="O21" s="43">
        <f t="shared" si="1"/>
        <v>0</v>
      </c>
      <c r="P21" s="43">
        <f t="shared" si="2"/>
        <v>0</v>
      </c>
    </row>
    <row r="22" spans="2:16" x14ac:dyDescent="0.2">
      <c r="B22" s="42" t="s">
        <v>29</v>
      </c>
      <c r="C22" s="43">
        <f>SUMIF('Entrada TD'!$E$8:$E$43,'Reliquidación TD'!$B22,'Entrada TD'!F$8:F$43)</f>
        <v>2529575</v>
      </c>
      <c r="D22" s="43">
        <f>SUMIF('Entrada TD'!$E$8:$E$43,'Reliquidación TD'!$B22,'Entrada TD'!G$8:G$43)</f>
        <v>6943345</v>
      </c>
      <c r="E22" s="43">
        <f>SUMIF('Entrada TD'!$E$8:$E$43,'Reliquidación TD'!$B22,'Entrada TD'!H$8:H$43)</f>
        <v>512</v>
      </c>
      <c r="F22" s="43">
        <f>SUMIF('Entrada TD'!$E$8:$E$43,'Reliquidación TD'!$B22,'Entrada TD'!I$8:I$43)</f>
        <v>20437</v>
      </c>
      <c r="G22" s="43">
        <f>SUMIF('Entrada TD'!$E$8:$E$43,'Reliquidación TD'!$B22,'Entrada TD'!J$8:J$43)</f>
        <v>0</v>
      </c>
      <c r="H22" s="43">
        <v>0</v>
      </c>
      <c r="I22" s="43">
        <f t="shared" si="0"/>
        <v>0</v>
      </c>
      <c r="J22" s="43">
        <v>0</v>
      </c>
      <c r="K22" s="43">
        <f t="shared" si="3"/>
        <v>0</v>
      </c>
      <c r="L22" s="43">
        <f t="shared" si="4"/>
        <v>0</v>
      </c>
      <c r="M22" s="43">
        <f t="shared" si="5"/>
        <v>0</v>
      </c>
      <c r="N22" s="43">
        <f t="shared" si="6"/>
        <v>0</v>
      </c>
      <c r="O22" s="43">
        <f t="shared" si="1"/>
        <v>0</v>
      </c>
      <c r="P22" s="43">
        <f t="shared" si="2"/>
        <v>0</v>
      </c>
    </row>
    <row r="23" spans="2:16" x14ac:dyDescent="0.2">
      <c r="B23" s="42" t="s">
        <v>30</v>
      </c>
      <c r="C23" s="43">
        <f>SUMIF('Entrada TD'!$E$8:$E$43,'Reliquidación TD'!$B23,'Entrada TD'!F$8:F$43)</f>
        <v>7634817</v>
      </c>
      <c r="D23" s="43">
        <f>SUMIF('Entrada TD'!$E$8:$E$43,'Reliquidación TD'!$B23,'Entrada TD'!G$8:G$43)</f>
        <v>15346168</v>
      </c>
      <c r="E23" s="43">
        <f>SUMIF('Entrada TD'!$E$8:$E$43,'Reliquidación TD'!$B23,'Entrada TD'!H$8:H$43)</f>
        <v>563296</v>
      </c>
      <c r="F23" s="43">
        <f>SUMIF('Entrada TD'!$E$8:$E$43,'Reliquidación TD'!$B23,'Entrada TD'!I$8:I$43)</f>
        <v>144432</v>
      </c>
      <c r="G23" s="43">
        <f>SUMIF('Entrada TD'!$E$8:$E$43,'Reliquidación TD'!$B23,'Entrada TD'!J$8:J$43)</f>
        <v>0</v>
      </c>
      <c r="H23" s="43">
        <v>0</v>
      </c>
      <c r="I23" s="43">
        <f t="shared" si="0"/>
        <v>0</v>
      </c>
      <c r="J23" s="43">
        <v>0</v>
      </c>
      <c r="K23" s="43">
        <f t="shared" si="3"/>
        <v>0</v>
      </c>
      <c r="L23" s="43">
        <f t="shared" si="4"/>
        <v>0</v>
      </c>
      <c r="M23" s="43">
        <f t="shared" si="5"/>
        <v>0</v>
      </c>
      <c r="N23" s="43">
        <f t="shared" si="6"/>
        <v>0</v>
      </c>
      <c r="O23" s="43">
        <f t="shared" si="1"/>
        <v>0</v>
      </c>
      <c r="P23" s="43">
        <f t="shared" si="2"/>
        <v>0</v>
      </c>
    </row>
    <row r="24" spans="2:16" x14ac:dyDescent="0.2">
      <c r="B24" s="42" t="s">
        <v>31</v>
      </c>
      <c r="C24" s="43">
        <f>SUMIF('Entrada TD'!$E$8:$E$43,'Reliquidación TD'!$B24,'Entrada TD'!F$8:F$43)</f>
        <v>1710055</v>
      </c>
      <c r="D24" s="43">
        <f>SUMIF('Entrada TD'!$E$8:$E$43,'Reliquidación TD'!$B24,'Entrada TD'!G$8:G$43)</f>
        <v>12801357</v>
      </c>
      <c r="E24" s="43">
        <f>SUMIF('Entrada TD'!$E$8:$E$43,'Reliquidación TD'!$B24,'Entrada TD'!H$8:H$43)</f>
        <v>23</v>
      </c>
      <c r="F24" s="43">
        <f>SUMIF('Entrada TD'!$E$8:$E$43,'Reliquidación TD'!$B24,'Entrada TD'!I$8:I$43)</f>
        <v>75415</v>
      </c>
      <c r="G24" s="43">
        <f>SUMIF('Entrada TD'!$E$8:$E$43,'Reliquidación TD'!$B24,'Entrada TD'!J$8:J$43)</f>
        <v>0</v>
      </c>
      <c r="H24" s="43">
        <v>0</v>
      </c>
      <c r="I24" s="43">
        <f t="shared" si="0"/>
        <v>0</v>
      </c>
      <c r="J24" s="43">
        <v>0</v>
      </c>
      <c r="K24" s="43">
        <f t="shared" si="3"/>
        <v>0</v>
      </c>
      <c r="L24" s="43">
        <f t="shared" si="4"/>
        <v>0</v>
      </c>
      <c r="M24" s="43">
        <f t="shared" si="5"/>
        <v>0</v>
      </c>
      <c r="N24" s="43">
        <f t="shared" si="6"/>
        <v>0</v>
      </c>
      <c r="O24" s="43">
        <f t="shared" si="1"/>
        <v>0</v>
      </c>
      <c r="P24" s="43">
        <f t="shared" si="2"/>
        <v>0</v>
      </c>
    </row>
    <row r="25" spans="2:16" x14ac:dyDescent="0.2">
      <c r="B25" s="42" t="s">
        <v>32</v>
      </c>
      <c r="C25" s="43">
        <f>SUMIF('Entrada TD'!$E$8:$E$43,'Reliquidación TD'!$B25,'Entrada TD'!F$8:F$43)</f>
        <v>428150</v>
      </c>
      <c r="D25" s="43">
        <f>SUMIF('Entrada TD'!$E$8:$E$43,'Reliquidación TD'!$B25,'Entrada TD'!G$8:G$43)</f>
        <v>2819733</v>
      </c>
      <c r="E25" s="43">
        <f>SUMIF('Entrada TD'!$E$8:$E$43,'Reliquidación TD'!$B25,'Entrada TD'!H$8:H$43)</f>
        <v>224458</v>
      </c>
      <c r="F25" s="43">
        <f>SUMIF('Entrada TD'!$E$8:$E$43,'Reliquidación TD'!$B25,'Entrada TD'!I$8:I$43)</f>
        <v>18645</v>
      </c>
      <c r="G25" s="43">
        <f>SUMIF('Entrada TD'!$E$8:$E$43,'Reliquidación TD'!$B25,'Entrada TD'!J$8:J$43)</f>
        <v>0</v>
      </c>
      <c r="H25" s="43">
        <v>0</v>
      </c>
      <c r="I25" s="43">
        <f t="shared" si="0"/>
        <v>0</v>
      </c>
      <c r="J25" s="43">
        <v>0</v>
      </c>
      <c r="K25" s="43">
        <f t="shared" si="3"/>
        <v>0</v>
      </c>
      <c r="L25" s="43">
        <f t="shared" si="4"/>
        <v>0</v>
      </c>
      <c r="M25" s="43">
        <f t="shared" si="5"/>
        <v>0</v>
      </c>
      <c r="N25" s="43">
        <f t="shared" si="6"/>
        <v>0</v>
      </c>
      <c r="O25" s="43">
        <f t="shared" si="1"/>
        <v>0</v>
      </c>
      <c r="P25" s="43">
        <f t="shared" si="2"/>
        <v>0</v>
      </c>
    </row>
    <row r="26" spans="2:16" x14ac:dyDescent="0.2">
      <c r="B26" s="42" t="s">
        <v>33</v>
      </c>
      <c r="C26" s="43">
        <f>SUMIF('Entrada TD'!$E$8:$E$43,'Reliquidación TD'!$B26,'Entrada TD'!F$8:F$43)</f>
        <v>1207749</v>
      </c>
      <c r="D26" s="43">
        <f>SUMIF('Entrada TD'!$E$8:$E$43,'Reliquidación TD'!$B26,'Entrada TD'!G$8:G$43)</f>
        <v>1958483</v>
      </c>
      <c r="E26" s="43">
        <f>SUMIF('Entrada TD'!$E$8:$E$43,'Reliquidación TD'!$B26,'Entrada TD'!H$8:H$43)</f>
        <v>123959</v>
      </c>
      <c r="F26" s="43">
        <f>SUMIF('Entrada TD'!$E$8:$E$43,'Reliquidación TD'!$B26,'Entrada TD'!I$8:I$43)</f>
        <v>14811</v>
      </c>
      <c r="G26" s="43">
        <f>SUMIF('Entrada TD'!$E$8:$E$43,'Reliquidación TD'!$B26,'Entrada TD'!J$8:J$43)</f>
        <v>0</v>
      </c>
      <c r="H26" s="43">
        <v>0</v>
      </c>
      <c r="I26" s="43">
        <f t="shared" si="0"/>
        <v>0</v>
      </c>
      <c r="J26" s="43">
        <v>0</v>
      </c>
      <c r="K26" s="43">
        <f t="shared" si="3"/>
        <v>0</v>
      </c>
      <c r="L26" s="43">
        <f t="shared" si="4"/>
        <v>0</v>
      </c>
      <c r="M26" s="43">
        <f t="shared" si="5"/>
        <v>0</v>
      </c>
      <c r="N26" s="43">
        <f t="shared" si="6"/>
        <v>0</v>
      </c>
      <c r="O26" s="43">
        <f t="shared" si="1"/>
        <v>0</v>
      </c>
      <c r="P26" s="43">
        <f t="shared" si="2"/>
        <v>0</v>
      </c>
    </row>
    <row r="27" spans="2:16" x14ac:dyDescent="0.2">
      <c r="B27" s="42" t="s">
        <v>34</v>
      </c>
      <c r="C27" s="43">
        <f>SUMIF('Entrada TD'!$E$8:$E$43,'Reliquidación TD'!$B27,'Entrada TD'!F$8:F$43)</f>
        <v>4644915</v>
      </c>
      <c r="D27" s="43">
        <f>SUMIF('Entrada TD'!$E$8:$E$43,'Reliquidación TD'!$B27,'Entrada TD'!G$8:G$43)</f>
        <v>8092754</v>
      </c>
      <c r="E27" s="43">
        <f>SUMIF('Entrada TD'!$E$8:$E$43,'Reliquidación TD'!$B27,'Entrada TD'!H$8:H$43)</f>
        <v>413737</v>
      </c>
      <c r="F27" s="43">
        <f>SUMIF('Entrada TD'!$E$8:$E$43,'Reliquidación TD'!$B27,'Entrada TD'!I$8:I$43)</f>
        <v>95593</v>
      </c>
      <c r="G27" s="43">
        <f>SUMIF('Entrada TD'!$E$8:$E$43,'Reliquidación TD'!$B27,'Entrada TD'!J$8:J$43)</f>
        <v>0</v>
      </c>
      <c r="H27" s="43">
        <v>0</v>
      </c>
      <c r="I27" s="43">
        <f t="shared" si="0"/>
        <v>0</v>
      </c>
      <c r="J27" s="43">
        <v>0</v>
      </c>
      <c r="K27" s="43">
        <f t="shared" si="3"/>
        <v>0</v>
      </c>
      <c r="L27" s="43">
        <f t="shared" si="4"/>
        <v>0</v>
      </c>
      <c r="M27" s="43">
        <f t="shared" si="5"/>
        <v>0</v>
      </c>
      <c r="N27" s="43">
        <f t="shared" si="6"/>
        <v>0</v>
      </c>
      <c r="O27" s="43">
        <f t="shared" si="1"/>
        <v>0</v>
      </c>
      <c r="P27" s="43">
        <f t="shared" si="2"/>
        <v>0</v>
      </c>
    </row>
    <row r="28" spans="2:16" x14ac:dyDescent="0.2">
      <c r="B28" s="42" t="s">
        <v>35</v>
      </c>
      <c r="C28" s="43">
        <f>SUMIF('Entrada TD'!$E$8:$E$43,'Reliquidación TD'!$B28,'Entrada TD'!F$8:F$43)</f>
        <v>23228606.84</v>
      </c>
      <c r="D28" s="43">
        <f>SUMIF('Entrada TD'!$E$8:$E$43,'Reliquidación TD'!$B28,'Entrada TD'!G$8:G$43)</f>
        <v>58052228.479999997</v>
      </c>
      <c r="E28" s="43">
        <f>SUMIF('Entrada TD'!$E$8:$E$43,'Reliquidación TD'!$B28,'Entrada TD'!H$8:H$43)</f>
        <v>344292.01699999999</v>
      </c>
      <c r="F28" s="43">
        <f>SUMIF('Entrada TD'!$E$8:$E$43,'Reliquidación TD'!$B28,'Entrada TD'!I$8:I$43)</f>
        <v>182052.5</v>
      </c>
      <c r="G28" s="43">
        <f>SUMIF('Entrada TD'!$E$8:$E$43,'Reliquidación TD'!$B28,'Entrada TD'!J$8:J$43)</f>
        <v>12640.874925184</v>
      </c>
      <c r="H28" s="43">
        <v>0</v>
      </c>
      <c r="I28" s="43">
        <f t="shared" si="0"/>
        <v>0</v>
      </c>
      <c r="J28" s="43">
        <v>0</v>
      </c>
      <c r="K28" s="43">
        <f t="shared" si="3"/>
        <v>0</v>
      </c>
      <c r="L28" s="43">
        <f t="shared" si="4"/>
        <v>12640.874925184</v>
      </c>
      <c r="M28" s="43">
        <f t="shared" si="5"/>
        <v>0</v>
      </c>
      <c r="N28" s="43">
        <f t="shared" si="6"/>
        <v>12640.874925184</v>
      </c>
      <c r="O28" s="43">
        <f t="shared" si="1"/>
        <v>-36.910560727716309</v>
      </c>
      <c r="P28" s="43">
        <f t="shared" si="2"/>
        <v>12603.964364456284</v>
      </c>
    </row>
    <row r="29" spans="2:16" x14ac:dyDescent="0.2">
      <c r="B29" s="42" t="s">
        <v>36</v>
      </c>
      <c r="C29" s="43">
        <f>SUMIF('Entrada TD'!$E$8:$E$43,'Reliquidación TD'!$B29,'Entrada TD'!F$8:F$43)</f>
        <v>10434754.33</v>
      </c>
      <c r="D29" s="43">
        <f>SUMIF('Entrada TD'!$E$8:$E$43,'Reliquidación TD'!$B29,'Entrada TD'!G$8:G$43)</f>
        <v>4082568.36</v>
      </c>
      <c r="E29" s="43">
        <f>SUMIF('Entrada TD'!$E$8:$E$43,'Reliquidación TD'!$B29,'Entrada TD'!H$8:H$43)</f>
        <v>204604.52</v>
      </c>
      <c r="F29" s="43">
        <f>SUMIF('Entrada TD'!$E$8:$E$43,'Reliquidación TD'!$B29,'Entrada TD'!I$8:I$43)</f>
        <v>19249</v>
      </c>
      <c r="G29" s="43">
        <f>SUMIF('Entrada TD'!$E$8:$E$43,'Reliquidación TD'!$B29,'Entrada TD'!J$8:J$43)</f>
        <v>173.4048798636</v>
      </c>
      <c r="H29" s="43">
        <v>0</v>
      </c>
      <c r="I29" s="43">
        <f t="shared" si="0"/>
        <v>0</v>
      </c>
      <c r="J29" s="43">
        <v>0</v>
      </c>
      <c r="K29" s="43">
        <f t="shared" si="3"/>
        <v>0</v>
      </c>
      <c r="L29" s="43">
        <f t="shared" si="4"/>
        <v>173.4048798636</v>
      </c>
      <c r="M29" s="43">
        <f t="shared" si="5"/>
        <v>0</v>
      </c>
      <c r="N29" s="43">
        <f t="shared" si="6"/>
        <v>173.4048798636</v>
      </c>
      <c r="O29" s="43">
        <f t="shared" si="1"/>
        <v>-0.50633135653737937</v>
      </c>
      <c r="P29" s="43">
        <f t="shared" si="2"/>
        <v>172.89854850706263</v>
      </c>
    </row>
    <row r="30" spans="2:16" x14ac:dyDescent="0.2">
      <c r="B30" s="42" t="s">
        <v>37</v>
      </c>
      <c r="C30" s="43">
        <f>SUMIF('Entrada TD'!$E$8:$E$43,'Reliquidación TD'!$B30,'Entrada TD'!F$8:F$43)</f>
        <v>40664118.969999999</v>
      </c>
      <c r="D30" s="43">
        <f>SUMIF('Entrada TD'!$E$8:$E$43,'Reliquidación TD'!$B30,'Entrada TD'!G$8:G$43)</f>
        <v>90559490.280000001</v>
      </c>
      <c r="E30" s="43">
        <f>SUMIF('Entrada TD'!$E$8:$E$43,'Reliquidación TD'!$B30,'Entrada TD'!H$8:H$43)</f>
        <v>240297.55</v>
      </c>
      <c r="F30" s="43">
        <f>SUMIF('Entrada TD'!$E$8:$E$43,'Reliquidación TD'!$B30,'Entrada TD'!I$8:I$43)</f>
        <v>211339.80799999999</v>
      </c>
      <c r="G30" s="43">
        <f>SUMIF('Entrada TD'!$E$8:$E$43,'Reliquidación TD'!$B30,'Entrada TD'!J$8:J$43)</f>
        <v>0</v>
      </c>
      <c r="H30" s="43">
        <v>0</v>
      </c>
      <c r="I30" s="43">
        <f t="shared" si="0"/>
        <v>0</v>
      </c>
      <c r="J30" s="43">
        <v>0</v>
      </c>
      <c r="K30" s="43">
        <f t="shared" si="3"/>
        <v>0</v>
      </c>
      <c r="L30" s="43">
        <f t="shared" si="4"/>
        <v>0</v>
      </c>
      <c r="M30" s="43">
        <f t="shared" si="5"/>
        <v>0</v>
      </c>
      <c r="N30" s="43">
        <f t="shared" si="6"/>
        <v>0</v>
      </c>
      <c r="O30" s="43">
        <f t="shared" si="1"/>
        <v>0</v>
      </c>
      <c r="P30" s="43">
        <f t="shared" si="2"/>
        <v>0</v>
      </c>
    </row>
    <row r="31" spans="2:16" x14ac:dyDescent="0.2">
      <c r="B31" s="42" t="s">
        <v>38</v>
      </c>
      <c r="C31" s="43">
        <f>SUMIF('Entrada TD'!$E$8:$E$43,'Reliquidación TD'!$B31,'Entrada TD'!F$8:F$43)</f>
        <v>2219270</v>
      </c>
      <c r="D31" s="43">
        <f>SUMIF('Entrada TD'!$E$8:$E$43,'Reliquidación TD'!$B31,'Entrada TD'!G$8:G$43)</f>
        <v>2867470</v>
      </c>
      <c r="E31" s="43">
        <f>SUMIF('Entrada TD'!$E$8:$E$43,'Reliquidación TD'!$B31,'Entrada TD'!H$8:H$43)</f>
        <v>37197</v>
      </c>
      <c r="F31" s="43">
        <f>SUMIF('Entrada TD'!$E$8:$E$43,'Reliquidación TD'!$B31,'Entrada TD'!I$8:I$43)</f>
        <v>19109</v>
      </c>
      <c r="G31" s="43">
        <f>SUMIF('Entrada TD'!$E$8:$E$43,'Reliquidación TD'!$B31,'Entrada TD'!J$8:J$43)</f>
        <v>0</v>
      </c>
      <c r="H31" s="43">
        <v>0</v>
      </c>
      <c r="I31" s="43">
        <f t="shared" si="0"/>
        <v>0</v>
      </c>
      <c r="J31" s="43">
        <v>0</v>
      </c>
      <c r="K31" s="43">
        <f t="shared" si="3"/>
        <v>0</v>
      </c>
      <c r="L31" s="43">
        <f t="shared" si="4"/>
        <v>0</v>
      </c>
      <c r="M31" s="43">
        <f t="shared" si="5"/>
        <v>0</v>
      </c>
      <c r="N31" s="43">
        <f t="shared" si="6"/>
        <v>0</v>
      </c>
      <c r="O31" s="43">
        <f t="shared" si="1"/>
        <v>0</v>
      </c>
      <c r="P31" s="43">
        <f t="shared" si="2"/>
        <v>0</v>
      </c>
    </row>
    <row r="32" spans="2:16" x14ac:dyDescent="0.2">
      <c r="B32" s="42" t="s">
        <v>39</v>
      </c>
      <c r="C32" s="43">
        <f>SUMIF('Entrada TD'!$E$8:$E$43,'Reliquidación TD'!$B32,'Entrada TD'!F$8:F$43)</f>
        <v>43366931.2927</v>
      </c>
      <c r="D32" s="43">
        <f>SUMIF('Entrada TD'!$E$8:$E$43,'Reliquidación TD'!$B32,'Entrada TD'!G$8:G$43)</f>
        <v>118633381.88410001</v>
      </c>
      <c r="E32" s="43">
        <f>SUMIF('Entrada TD'!$E$8:$E$43,'Reliquidación TD'!$B32,'Entrada TD'!H$8:H$43)</f>
        <v>2154770.7999999998</v>
      </c>
      <c r="F32" s="43">
        <f>SUMIF('Entrada TD'!$E$8:$E$43,'Reliquidación TD'!$B32,'Entrada TD'!I$8:I$43)</f>
        <v>739940.58109999995</v>
      </c>
      <c r="G32" s="43">
        <f>SUMIF('Entrada TD'!$E$8:$E$43,'Reliquidación TD'!$B32,'Entrada TD'!J$8:J$43)</f>
        <v>3286.9587300463149</v>
      </c>
      <c r="H32" s="43">
        <v>0</v>
      </c>
      <c r="I32" s="43">
        <f t="shared" si="0"/>
        <v>0</v>
      </c>
      <c r="J32" s="43">
        <v>0</v>
      </c>
      <c r="K32" s="43">
        <f t="shared" si="3"/>
        <v>0</v>
      </c>
      <c r="L32" s="43">
        <f t="shared" si="4"/>
        <v>3286.9587300463149</v>
      </c>
      <c r="M32" s="43">
        <f t="shared" si="5"/>
        <v>0</v>
      </c>
      <c r="N32" s="43">
        <f t="shared" si="6"/>
        <v>3286.9587300463149</v>
      </c>
      <c r="O32" s="43">
        <f t="shared" si="1"/>
        <v>-9.5977130169338984</v>
      </c>
      <c r="P32" s="43">
        <f t="shared" si="2"/>
        <v>3277.3610170293809</v>
      </c>
    </row>
    <row r="33" spans="2:16" x14ac:dyDescent="0.2">
      <c r="B33" s="42" t="s">
        <v>40</v>
      </c>
      <c r="C33" s="43">
        <f>SUMIF('Entrada TD'!$E$8:$E$43,'Reliquidación TD'!$B33,'Entrada TD'!F$8:F$43)</f>
        <v>1599904</v>
      </c>
      <c r="D33" s="43">
        <f>SUMIF('Entrada TD'!$E$8:$E$43,'Reliquidación TD'!$B33,'Entrada TD'!G$8:G$43)</f>
        <v>2793061.7</v>
      </c>
      <c r="E33" s="43">
        <f>SUMIF('Entrada TD'!$E$8:$E$43,'Reliquidación TD'!$B33,'Entrada TD'!H$8:H$43)</f>
        <v>40216</v>
      </c>
      <c r="F33" s="43">
        <f>SUMIF('Entrada TD'!$E$8:$E$43,'Reliquidación TD'!$B33,'Entrada TD'!I$8:I$43)</f>
        <v>90763</v>
      </c>
      <c r="G33" s="43">
        <f>SUMIF('Entrada TD'!$E$8:$E$43,'Reliquidación TD'!$B33,'Entrada TD'!J$8:J$43)</f>
        <v>0</v>
      </c>
      <c r="H33" s="43">
        <v>0</v>
      </c>
      <c r="I33" s="43">
        <f t="shared" si="0"/>
        <v>0</v>
      </c>
      <c r="J33" s="43">
        <v>0</v>
      </c>
      <c r="K33" s="43">
        <f t="shared" si="3"/>
        <v>0</v>
      </c>
      <c r="L33" s="43">
        <f t="shared" si="4"/>
        <v>0</v>
      </c>
      <c r="M33" s="43">
        <f t="shared" si="5"/>
        <v>0</v>
      </c>
      <c r="N33" s="43">
        <f t="shared" si="6"/>
        <v>0</v>
      </c>
      <c r="O33" s="43">
        <f t="shared" si="1"/>
        <v>0</v>
      </c>
      <c r="P33" s="43">
        <f t="shared" si="2"/>
        <v>0</v>
      </c>
    </row>
    <row r="34" spans="2:16" x14ac:dyDescent="0.2">
      <c r="B34" s="42" t="s">
        <v>41</v>
      </c>
      <c r="C34" s="43">
        <f>SUMIF('Entrada TD'!$E$8:$E$43,'Reliquidación TD'!$B34,'Entrada TD'!F$8:F$43)</f>
        <v>1328047.5</v>
      </c>
      <c r="D34" s="43">
        <f>SUMIF('Entrada TD'!$E$8:$E$43,'Reliquidación TD'!$B34,'Entrada TD'!G$8:G$43)</f>
        <v>9654550.4544999991</v>
      </c>
      <c r="E34" s="43">
        <f>SUMIF('Entrada TD'!$E$8:$E$43,'Reliquidación TD'!$B34,'Entrada TD'!H$8:H$43)</f>
        <v>4520</v>
      </c>
      <c r="F34" s="43">
        <f>SUMIF('Entrada TD'!$E$8:$E$43,'Reliquidación TD'!$B34,'Entrada TD'!I$8:I$43)</f>
        <v>40135.199999999997</v>
      </c>
      <c r="G34" s="43">
        <f>SUMIF('Entrada TD'!$E$8:$E$43,'Reliquidación TD'!$B34,'Entrada TD'!J$8:J$43)</f>
        <v>-43.653180401571433</v>
      </c>
      <c r="H34" s="43">
        <v>0</v>
      </c>
      <c r="I34" s="43">
        <f t="shared" si="0"/>
        <v>0</v>
      </c>
      <c r="J34" s="43">
        <v>0</v>
      </c>
      <c r="K34" s="43">
        <f t="shared" si="3"/>
        <v>0</v>
      </c>
      <c r="L34" s="43">
        <f t="shared" si="4"/>
        <v>-43.653180401571433</v>
      </c>
      <c r="M34" s="43">
        <f t="shared" si="5"/>
        <v>43.653180401571433</v>
      </c>
      <c r="N34" s="43">
        <f t="shared" si="6"/>
        <v>0</v>
      </c>
      <c r="O34" s="43">
        <f t="shared" si="1"/>
        <v>43.653180401571433</v>
      </c>
      <c r="P34" s="43">
        <f t="shared" si="2"/>
        <v>0</v>
      </c>
    </row>
    <row r="35" spans="2:16" x14ac:dyDescent="0.2">
      <c r="B35" s="42" t="s">
        <v>42</v>
      </c>
      <c r="C35" s="43">
        <f>SUMIF('Entrada TD'!$E$8:$E$43,'Reliquidación TD'!$B35,'Entrada TD'!F$8:F$43)</f>
        <v>5920564.7000000002</v>
      </c>
      <c r="D35" s="43">
        <f>SUMIF('Entrada TD'!$E$8:$E$43,'Reliquidación TD'!$B35,'Entrada TD'!G$8:G$43)</f>
        <v>6370444.5549999997</v>
      </c>
      <c r="E35" s="43">
        <f>SUMIF('Entrada TD'!$E$8:$E$43,'Reliquidación TD'!$B35,'Entrada TD'!H$8:H$43)</f>
        <v>251144</v>
      </c>
      <c r="F35" s="43">
        <f>SUMIF('Entrada TD'!$E$8:$E$43,'Reliquidación TD'!$B35,'Entrada TD'!I$8:I$43)</f>
        <v>28672.674900000002</v>
      </c>
      <c r="G35" s="43">
        <f>SUMIF('Entrada TD'!$E$8:$E$43,'Reliquidación TD'!$B35,'Entrada TD'!J$8:J$43)</f>
        <v>-17039.012103839312</v>
      </c>
      <c r="H35" s="43">
        <v>0</v>
      </c>
      <c r="I35" s="43">
        <f t="shared" si="0"/>
        <v>0</v>
      </c>
      <c r="J35" s="43">
        <v>0</v>
      </c>
      <c r="K35" s="43">
        <f t="shared" si="3"/>
        <v>0</v>
      </c>
      <c r="L35" s="43">
        <f t="shared" si="4"/>
        <v>-17039.012103839312</v>
      </c>
      <c r="M35" s="43">
        <f t="shared" si="5"/>
        <v>17039.012103839312</v>
      </c>
      <c r="N35" s="43">
        <f t="shared" si="6"/>
        <v>0</v>
      </c>
      <c r="O35" s="43">
        <f t="shared" si="1"/>
        <v>17039.012103839312</v>
      </c>
      <c r="P35" s="43">
        <f t="shared" si="2"/>
        <v>0</v>
      </c>
    </row>
    <row r="36" spans="2:16" x14ac:dyDescent="0.2">
      <c r="B36" s="42" t="s">
        <v>43</v>
      </c>
      <c r="C36" s="43">
        <f>SUMIF('Entrada TD'!$E$8:$E$43,'Reliquidación TD'!$B36,'Entrada TD'!F$8:F$43)</f>
        <v>11293541.5</v>
      </c>
      <c r="D36" s="43">
        <f>SUMIF('Entrada TD'!$E$8:$E$43,'Reliquidación TD'!$B36,'Entrada TD'!G$8:G$43)</f>
        <v>5362850.2964000003</v>
      </c>
      <c r="E36" s="43">
        <f>SUMIF('Entrada TD'!$E$8:$E$43,'Reliquidación TD'!$B36,'Entrada TD'!H$8:H$43)</f>
        <v>339324</v>
      </c>
      <c r="F36" s="43">
        <f>SUMIF('Entrada TD'!$E$8:$E$43,'Reliquidación TD'!$B36,'Entrada TD'!I$8:I$43)</f>
        <v>77313.899999999994</v>
      </c>
      <c r="G36" s="43">
        <f>SUMIF('Entrada TD'!$E$8:$E$43,'Reliquidación TD'!$B36,'Entrada TD'!J$8:J$43)</f>
        <v>22588.991359678039</v>
      </c>
      <c r="H36" s="43">
        <v>0</v>
      </c>
      <c r="I36" s="43">
        <f t="shared" si="0"/>
        <v>0</v>
      </c>
      <c r="J36" s="43">
        <v>0</v>
      </c>
      <c r="K36" s="43">
        <f t="shared" si="3"/>
        <v>0</v>
      </c>
      <c r="L36" s="43">
        <f t="shared" si="4"/>
        <v>22588.991359678039</v>
      </c>
      <c r="M36" s="43">
        <f t="shared" si="5"/>
        <v>0</v>
      </c>
      <c r="N36" s="43">
        <f t="shared" si="6"/>
        <v>22588.991359678039</v>
      </c>
      <c r="O36" s="43">
        <f t="shared" si="1"/>
        <v>-65.958435811919784</v>
      </c>
      <c r="P36" s="43">
        <f t="shared" si="2"/>
        <v>22523.032923866118</v>
      </c>
    </row>
    <row r="37" spans="2:16" x14ac:dyDescent="0.2">
      <c r="B37" s="42" t="s">
        <v>45</v>
      </c>
      <c r="C37" s="43">
        <f>SUMIF('Entrada TD'!$E$8:$E$43,'Reliquidación TD'!$B37,'Entrada TD'!F$8:F$43)</f>
        <v>435933.99999999988</v>
      </c>
      <c r="D37" s="43">
        <f>SUMIF('Entrada TD'!$E$8:$E$43,'Reliquidación TD'!$B37,'Entrada TD'!G$8:G$43)</f>
        <v>919290</v>
      </c>
      <c r="E37" s="43">
        <f>SUMIF('Entrada TD'!$E$8:$E$43,'Reliquidación TD'!$B37,'Entrada TD'!H$8:H$43)</f>
        <v>43245</v>
      </c>
      <c r="F37" s="43">
        <f>SUMIF('Entrada TD'!$E$8:$E$43,'Reliquidación TD'!$B37,'Entrada TD'!I$8:I$43)</f>
        <v>12427</v>
      </c>
      <c r="G37" s="43">
        <f>SUMIF('Entrada TD'!$E$8:$E$43,'Reliquidación TD'!$B37,'Entrada TD'!J$8:J$43)</f>
        <v>0</v>
      </c>
      <c r="H37" s="43">
        <v>0</v>
      </c>
      <c r="I37" s="43">
        <f t="shared" si="0"/>
        <v>0</v>
      </c>
      <c r="J37" s="43">
        <v>0</v>
      </c>
      <c r="K37" s="43">
        <f t="shared" si="3"/>
        <v>0</v>
      </c>
      <c r="L37" s="43">
        <f t="shared" si="4"/>
        <v>0</v>
      </c>
      <c r="M37" s="43">
        <f t="shared" si="5"/>
        <v>0</v>
      </c>
      <c r="N37" s="43">
        <f t="shared" si="6"/>
        <v>0</v>
      </c>
      <c r="O37" s="43">
        <f t="shared" si="1"/>
        <v>0</v>
      </c>
      <c r="P37" s="43">
        <f t="shared" si="2"/>
        <v>0</v>
      </c>
    </row>
    <row r="38" spans="2:16" x14ac:dyDescent="0.2">
      <c r="B38" s="42" t="s">
        <v>46</v>
      </c>
      <c r="C38" s="43">
        <f>SUMIF('Entrada TD'!$E$8:$E$43,'Reliquidación TD'!$B38,'Entrada TD'!F$8:F$43)</f>
        <v>4512098.3830000004</v>
      </c>
      <c r="D38" s="43">
        <f>SUMIF('Entrada TD'!$E$8:$E$43,'Reliquidación TD'!$B38,'Entrada TD'!G$8:G$43)</f>
        <v>17811131.941</v>
      </c>
      <c r="E38" s="43">
        <f>SUMIF('Entrada TD'!$E$8:$E$43,'Reliquidación TD'!$B38,'Entrada TD'!H$8:H$43)</f>
        <v>13458</v>
      </c>
      <c r="F38" s="43">
        <f>SUMIF('Entrada TD'!$E$8:$E$43,'Reliquidación TD'!$B38,'Entrada TD'!I$8:I$43)</f>
        <v>42244.014000000003</v>
      </c>
      <c r="G38" s="43">
        <f>SUMIF('Entrada TD'!$E$8:$E$43,'Reliquidación TD'!$B38,'Entrada TD'!J$8:J$43)</f>
        <v>-35.206229209782883</v>
      </c>
      <c r="H38" s="43">
        <v>0</v>
      </c>
      <c r="I38" s="43">
        <f t="shared" si="0"/>
        <v>0</v>
      </c>
      <c r="J38" s="43">
        <v>0</v>
      </c>
      <c r="K38" s="43">
        <f t="shared" si="3"/>
        <v>0</v>
      </c>
      <c r="L38" s="43">
        <f t="shared" si="4"/>
        <v>-35.206229209782883</v>
      </c>
      <c r="M38" s="43">
        <f>IF(L38&lt;0,-L38,0)</f>
        <v>35.206229209782883</v>
      </c>
      <c r="N38" s="43">
        <f>IF(L38&gt;0,L38,0)</f>
        <v>0</v>
      </c>
      <c r="O38" s="43">
        <f t="shared" si="1"/>
        <v>35.206229209782883</v>
      </c>
      <c r="P38" s="43">
        <f t="shared" si="2"/>
        <v>0</v>
      </c>
    </row>
    <row r="39" spans="2:16" x14ac:dyDescent="0.2">
      <c r="B39" s="42" t="s">
        <v>47</v>
      </c>
      <c r="C39" s="43">
        <f>SUMIF('Entrada TD'!$E$8:$E$43,'Reliquidación TD'!$B39,'Entrada TD'!F$8:F$43)</f>
        <v>6283946.3530000001</v>
      </c>
      <c r="D39" s="43">
        <f>SUMIF('Entrada TD'!$E$8:$E$43,'Reliquidación TD'!$B39,'Entrada TD'!G$8:G$43)</f>
        <v>27286382.329</v>
      </c>
      <c r="E39" s="43">
        <f>SUMIF('Entrada TD'!$E$8:$E$43,'Reliquidación TD'!$B39,'Entrada TD'!H$8:H$43)</f>
        <v>12570.960999999999</v>
      </c>
      <c r="F39" s="43">
        <f>SUMIF('Entrada TD'!$E$8:$E$43,'Reliquidación TD'!$B39,'Entrada TD'!I$8:I$43)</f>
        <v>20482.008000000002</v>
      </c>
      <c r="G39" s="43">
        <f>SUMIF('Entrada TD'!$E$8:$E$43,'Reliquidación TD'!$B39,'Entrada TD'!J$8:J$43)</f>
        <v>43712.890493620478</v>
      </c>
      <c r="H39" s="43">
        <v>0</v>
      </c>
      <c r="I39" s="43">
        <f t="shared" si="0"/>
        <v>0</v>
      </c>
      <c r="J39" s="43">
        <v>0</v>
      </c>
      <c r="K39" s="43">
        <f t="shared" si="3"/>
        <v>0</v>
      </c>
      <c r="L39" s="43">
        <f t="shared" si="4"/>
        <v>43712.890493620478</v>
      </c>
      <c r="M39" s="43">
        <f t="shared" si="5"/>
        <v>0</v>
      </c>
      <c r="N39" s="43">
        <f t="shared" si="6"/>
        <v>43712.890493620478</v>
      </c>
      <c r="O39" s="43">
        <f t="shared" si="1"/>
        <v>-127.63889435646054</v>
      </c>
      <c r="P39" s="43">
        <f t="shared" si="2"/>
        <v>43585.251599264018</v>
      </c>
    </row>
    <row r="40" spans="2:16" x14ac:dyDescent="0.2">
      <c r="B40" s="42" t="s">
        <v>48</v>
      </c>
      <c r="C40" s="43">
        <f>SUMIF('Entrada TD'!$E$8:$E$43,'Reliquidación TD'!$B40,'Entrada TD'!F$8:F$43)</f>
        <v>14651117.562000001</v>
      </c>
      <c r="D40" s="43">
        <f>SUMIF('Entrada TD'!$E$8:$E$43,'Reliquidación TD'!$B40,'Entrada TD'!G$8:G$43)</f>
        <v>47142862.340291329</v>
      </c>
      <c r="E40" s="43">
        <f>SUMIF('Entrada TD'!$E$8:$E$43,'Reliquidación TD'!$B40,'Entrada TD'!H$8:H$43)</f>
        <v>45278.1</v>
      </c>
      <c r="F40" s="43">
        <f>SUMIF('Entrada TD'!$E$8:$E$43,'Reliquidación TD'!$B40,'Entrada TD'!I$8:I$43)</f>
        <v>62467.421000000002</v>
      </c>
      <c r="G40" s="43">
        <f>SUMIF('Entrada TD'!$E$8:$E$43,'Reliquidación TD'!$B40,'Entrada TD'!J$8:J$43)</f>
        <v>-77531.08117266692</v>
      </c>
      <c r="H40" s="43">
        <v>0</v>
      </c>
      <c r="I40" s="43">
        <f t="shared" si="0"/>
        <v>0</v>
      </c>
      <c r="J40" s="43">
        <v>0</v>
      </c>
      <c r="K40" s="43">
        <f t="shared" si="3"/>
        <v>0</v>
      </c>
      <c r="L40" s="43">
        <f t="shared" si="4"/>
        <v>-77531.08117266692</v>
      </c>
      <c r="M40" s="43">
        <f t="shared" si="5"/>
        <v>77531.08117266692</v>
      </c>
      <c r="N40" s="43">
        <f t="shared" si="6"/>
        <v>0</v>
      </c>
      <c r="O40" s="43">
        <f t="shared" si="1"/>
        <v>77531.08117266692</v>
      </c>
      <c r="P40" s="43">
        <f t="shared" si="2"/>
        <v>0</v>
      </c>
    </row>
    <row r="41" spans="2:16" x14ac:dyDescent="0.2">
      <c r="B41" s="42" t="s">
        <v>49</v>
      </c>
      <c r="C41" s="43">
        <f>SUMIF('Entrada TD'!$E$8:$E$43,'Reliquidación TD'!$B41,'Entrada TD'!F$8:F$43)</f>
        <v>0</v>
      </c>
      <c r="D41" s="43">
        <f>SUMIF('Entrada TD'!$E$8:$E$43,'Reliquidación TD'!$B41,'Entrada TD'!G$8:G$43)</f>
        <v>0</v>
      </c>
      <c r="E41" s="43">
        <f>SUMIF('Entrada TD'!$E$8:$E$43,'Reliquidación TD'!$B41,'Entrada TD'!H$8:H$43)</f>
        <v>0</v>
      </c>
      <c r="F41" s="43">
        <f>SUMIF('Entrada TD'!$E$8:$E$43,'Reliquidación TD'!$B41,'Entrada TD'!I$8:I$43)</f>
        <v>0</v>
      </c>
      <c r="G41" s="43">
        <f>SUMIF('Entrada TD'!$E$8:$E$43,'Reliquidación TD'!$B41,'Entrada TD'!J$8:J$43)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3"/>
        <v>0</v>
      </c>
      <c r="L41" s="43">
        <f t="shared" si="4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</row>
    <row r="42" spans="2:16" x14ac:dyDescent="0.2">
      <c r="B42" s="42" t="s">
        <v>50</v>
      </c>
      <c r="C42" s="43">
        <f>SUMIF('Entrada TD'!$E$8:$E$43,'Reliquidación TD'!$B42,'Entrada TD'!F$8:F$43)</f>
        <v>0</v>
      </c>
      <c r="D42" s="43">
        <f>SUMIF('Entrada TD'!$E$8:$E$43,'Reliquidación TD'!$B42,'Entrada TD'!G$8:G$43)</f>
        <v>11968</v>
      </c>
      <c r="E42" s="43">
        <f>SUMIF('Entrada TD'!$E$8:$E$43,'Reliquidación TD'!$B42,'Entrada TD'!H$8:H$43)</f>
        <v>0</v>
      </c>
      <c r="F42" s="43">
        <f>SUMIF('Entrada TD'!$E$8:$E$43,'Reliquidación TD'!$B42,'Entrada TD'!I$8:I$43)</f>
        <v>0</v>
      </c>
      <c r="G42" s="43">
        <f>SUMIF('Entrada TD'!$E$8:$E$43,'Reliquidación TD'!$B42,'Entrada TD'!J$8:J$43)</f>
        <v>0</v>
      </c>
      <c r="H42" s="43">
        <v>0</v>
      </c>
      <c r="I42" s="43">
        <f t="shared" si="0"/>
        <v>0</v>
      </c>
      <c r="J42" s="43">
        <v>0</v>
      </c>
      <c r="K42" s="43">
        <f t="shared" si="3"/>
        <v>0</v>
      </c>
      <c r="L42" s="43">
        <f t="shared" si="4"/>
        <v>0</v>
      </c>
      <c r="M42" s="43">
        <f>IF(L42&lt;0,-L42,0)</f>
        <v>0</v>
      </c>
      <c r="N42" s="43">
        <f>IF(L42&gt;0,L42,0)</f>
        <v>0</v>
      </c>
      <c r="O42" s="43">
        <f t="shared" si="1"/>
        <v>0</v>
      </c>
      <c r="P42" s="43">
        <f>L42+O42</f>
        <v>0</v>
      </c>
    </row>
    <row r="43" spans="2:16" x14ac:dyDescent="0.2">
      <c r="B43" s="44" t="s">
        <v>51</v>
      </c>
      <c r="C43" s="45">
        <f>SUMIF('Entrada TD'!$E$8:$E$43,'Reliquidación TD'!$B43,'Entrada TD'!F$8:F$43)</f>
        <v>32785.800000000003</v>
      </c>
      <c r="D43" s="45">
        <f>SUMIF('Entrada TD'!$E$8:$E$43,'Reliquidación TD'!$B43,'Entrada TD'!G$8:G$43)</f>
        <v>63849.4</v>
      </c>
      <c r="E43" s="45">
        <f>SUMIF('Entrada TD'!$E$8:$E$43,'Reliquidación TD'!$B43,'Entrada TD'!H$8:H$43)</f>
        <v>0</v>
      </c>
      <c r="F43" s="45">
        <f>SUMIF('Entrada TD'!$E$8:$E$43,'Reliquidación TD'!$B43,'Entrada TD'!I$8:I$43)</f>
        <v>0</v>
      </c>
      <c r="G43" s="45">
        <f>SUMIF('Entrada TD'!$E$8:$E$43,'Reliquidación TD'!$B43,'Entrada TD'!J$8:J$43)</f>
        <v>0</v>
      </c>
      <c r="H43" s="45">
        <v>0</v>
      </c>
      <c r="I43" s="45">
        <f t="shared" si="0"/>
        <v>0</v>
      </c>
      <c r="J43" s="45">
        <v>0</v>
      </c>
      <c r="K43" s="45">
        <f t="shared" si="3"/>
        <v>0</v>
      </c>
      <c r="L43" s="45">
        <f t="shared" si="4"/>
        <v>0</v>
      </c>
      <c r="M43" s="45">
        <f t="shared" si="5"/>
        <v>0</v>
      </c>
      <c r="N43" s="45">
        <f t="shared" si="6"/>
        <v>0</v>
      </c>
      <c r="O43" s="45">
        <f t="shared" si="1"/>
        <v>0</v>
      </c>
      <c r="P43" s="45">
        <f t="shared" si="2"/>
        <v>0</v>
      </c>
    </row>
    <row r="44" spans="2:16" x14ac:dyDescent="0.2">
      <c r="B44" s="46" t="s">
        <v>66</v>
      </c>
      <c r="C44" s="16">
        <f t="shared" ref="C44:P44" si="7">SUM(C9:C43)</f>
        <v>558796905.73070002</v>
      </c>
      <c r="D44" s="47">
        <f t="shared" si="7"/>
        <v>1537318590.6478362</v>
      </c>
      <c r="E44" s="48">
        <f t="shared" si="7"/>
        <v>11776268.979</v>
      </c>
      <c r="F44" s="48">
        <f t="shared" si="7"/>
        <v>5585086.0030000014</v>
      </c>
      <c r="G44" s="48">
        <f t="shared" si="7"/>
        <v>2317515.1235454129</v>
      </c>
      <c r="H44" s="48">
        <f t="shared" si="7"/>
        <v>0</v>
      </c>
      <c r="I44" s="48">
        <f t="shared" si="7"/>
        <v>0</v>
      </c>
      <c r="J44" s="48">
        <f t="shared" si="7"/>
        <v>61029974.858877964</v>
      </c>
      <c r="K44" s="48">
        <f t="shared" si="7"/>
        <v>61337516.725468062</v>
      </c>
      <c r="L44" s="48">
        <f>SUM(L9:L43)</f>
        <v>63655031.849013485</v>
      </c>
      <c r="M44" s="48">
        <f t="shared" si="7"/>
        <v>186413.00869697306</v>
      </c>
      <c r="N44" s="48">
        <f t="shared" si="7"/>
        <v>63841444.857710451</v>
      </c>
      <c r="O44" s="49">
        <f t="shared" si="7"/>
        <v>0</v>
      </c>
      <c r="P44" s="49">
        <f t="shared" si="7"/>
        <v>63655031.849013478</v>
      </c>
    </row>
    <row r="45" spans="2:16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6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6" x14ac:dyDescent="0.2">
      <c r="B47"/>
      <c r="C47"/>
      <c r="H47" s="52"/>
      <c r="I47" s="17"/>
      <c r="J47" s="17"/>
      <c r="K47" s="17"/>
      <c r="L47" s="17"/>
      <c r="M47" s="7" t="s">
        <v>67</v>
      </c>
      <c r="N47" s="53">
        <f>N44</f>
        <v>63841444.857710451</v>
      </c>
      <c r="O47"/>
    </row>
    <row r="48" spans="2:16" x14ac:dyDescent="0.2">
      <c r="B48"/>
      <c r="C48"/>
      <c r="H48" s="52"/>
      <c r="I48" s="17"/>
      <c r="J48" s="17"/>
      <c r="K48" s="17"/>
      <c r="L48" s="17"/>
      <c r="M48" s="7" t="s">
        <v>68</v>
      </c>
      <c r="N48" s="53">
        <f>M44</f>
        <v>186413.00869697306</v>
      </c>
      <c r="O48"/>
      <c r="P48" s="54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186413.00869697306</v>
      </c>
      <c r="O49"/>
      <c r="P49" s="54"/>
    </row>
    <row r="50" spans="2:16" x14ac:dyDescent="0.2">
      <c r="M50" s="17"/>
      <c r="N50"/>
    </row>
    <row r="51" spans="2:16" x14ac:dyDescent="0.2">
      <c r="D51" s="55"/>
      <c r="G51" s="54"/>
    </row>
    <row r="52" spans="2:16" x14ac:dyDescent="0.2">
      <c r="D52" s="55"/>
    </row>
    <row r="53" spans="2:16" x14ac:dyDescent="0.2">
      <c r="D53" s="55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3732-D90E-40F8-8986-31E40A3FD5C5}">
  <sheetPr codeName="Hoja6">
    <tabColor theme="8" tint="0.59999389629810485"/>
  </sheetPr>
  <dimension ref="B2:S11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42578125" style="20" customWidth="1"/>
    <col min="2" max="2" width="22.7109375" style="20" customWidth="1"/>
    <col min="3" max="3" width="11.5703125" style="20" bestFit="1" customWidth="1"/>
    <col min="4" max="4" width="13.140625" style="20" bestFit="1" customWidth="1"/>
    <col min="5" max="5" width="12.140625" style="20" customWidth="1"/>
    <col min="6" max="6" width="12.7109375" style="20" customWidth="1"/>
    <col min="7" max="7" width="13.5703125" style="20" bestFit="1" customWidth="1"/>
    <col min="8" max="8" width="11.5703125" style="20" bestFit="1" customWidth="1"/>
    <col min="9" max="9" width="13.28515625" style="20" customWidth="1"/>
    <col min="10" max="10" width="8" style="20" customWidth="1"/>
    <col min="11" max="11" width="11.140625" style="20" customWidth="1"/>
    <col min="12" max="12" width="16.140625" style="20" customWidth="1"/>
    <col min="13" max="13" width="13.5703125" style="20" bestFit="1" customWidth="1"/>
    <col min="14" max="15" width="13.140625" style="20" bestFit="1" customWidth="1"/>
    <col min="16" max="16" width="16.28515625" style="20" customWidth="1"/>
    <col min="17" max="18" width="13.28515625" style="20" customWidth="1"/>
    <col min="19" max="19" width="14.7109375" style="20" customWidth="1"/>
    <col min="20" max="20" width="16.85546875" style="20" customWidth="1"/>
    <col min="21" max="16384" width="11.42578125" style="20"/>
  </cols>
  <sheetData>
    <row r="2" spans="2:19" x14ac:dyDescent="0.2">
      <c r="B2" s="19" t="s">
        <v>70</v>
      </c>
      <c r="C2" s="19"/>
      <c r="D2" s="19"/>
    </row>
    <row r="3" spans="2:19" x14ac:dyDescent="0.2">
      <c r="B3" s="21">
        <f>FechaFacturacion</f>
        <v>45717</v>
      </c>
      <c r="C3" s="22"/>
      <c r="D3" s="22"/>
      <c r="I3" s="23" t="s">
        <v>57</v>
      </c>
      <c r="J3" s="24"/>
      <c r="K3" s="24"/>
      <c r="L3" s="24"/>
    </row>
    <row r="4" spans="2:19" x14ac:dyDescent="0.2">
      <c r="B4" s="25"/>
      <c r="D4" s="22"/>
      <c r="I4" s="26">
        <f>'Reliquidación TD'!$I$4</f>
        <v>5.0391937290035216E-3</v>
      </c>
      <c r="J4" s="27"/>
      <c r="K4" s="27"/>
      <c r="L4" s="27"/>
      <c r="M4" s="56"/>
    </row>
    <row r="5" spans="2:19" x14ac:dyDescent="0.2">
      <c r="J5" s="57"/>
      <c r="K5" s="57"/>
      <c r="L5" s="57"/>
    </row>
    <row r="6" spans="2:19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29" t="str">
        <f>"Saldo "&amp;TEXT(B3-1,"mmmmmmmmmm")</f>
        <v>Saldo febrero</v>
      </c>
      <c r="I6" s="29" t="s">
        <v>58</v>
      </c>
      <c r="J6" s="29" t="s">
        <v>59</v>
      </c>
      <c r="K6" s="29" t="s">
        <v>60</v>
      </c>
      <c r="L6" s="29" t="str">
        <f>CONCATENATE("Transferencias TD ", TEXT(FechaFacturacion, "mmmm yyyy"))</f>
        <v>Transferencias TD marzo 2025</v>
      </c>
      <c r="M6" s="30" t="s">
        <v>11</v>
      </c>
      <c r="N6" s="29" t="s">
        <v>71</v>
      </c>
      <c r="O6" s="31" t="s">
        <v>72</v>
      </c>
      <c r="P6" s="29" t="s">
        <v>64</v>
      </c>
      <c r="Q6" s="29" t="s">
        <v>65</v>
      </c>
      <c r="R6" s="29" t="s">
        <v>73</v>
      </c>
      <c r="S6" s="29" t="s">
        <v>74</v>
      </c>
    </row>
    <row r="7" spans="2:19" ht="12.75" customHeight="1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4"/>
      <c r="M7" s="30"/>
      <c r="N7" s="34"/>
      <c r="O7" s="36"/>
      <c r="P7" s="34"/>
      <c r="Q7" s="34"/>
      <c r="R7" s="34"/>
      <c r="S7" s="34"/>
    </row>
    <row r="8" spans="2:19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7" t="s">
        <v>13</v>
      </c>
      <c r="O8" s="38" t="s">
        <v>13</v>
      </c>
      <c r="P8" s="39" t="s">
        <v>13</v>
      </c>
      <c r="Q8" s="39" t="s">
        <v>13</v>
      </c>
      <c r="R8" s="39" t="s">
        <v>13</v>
      </c>
      <c r="S8" s="39" t="s">
        <v>13</v>
      </c>
    </row>
    <row r="9" spans="2:19" x14ac:dyDescent="0.2">
      <c r="B9" s="40" t="s">
        <v>14</v>
      </c>
      <c r="C9" s="41">
        <f>SUMIF('Entrada AR'!$E$8:$E$43,'Reliquidación AR'!$B9,'Entrada AR'!F$8:F$43)</f>
        <v>5156215</v>
      </c>
      <c r="D9" s="41">
        <f>SUMIF('Entrada AR'!$E$8:$E$43,'Reliquidación AR'!$B9,'Entrada AR'!G$8:G$43)</f>
        <v>3378140</v>
      </c>
      <c r="E9" s="41">
        <f>SUMIF('Entrada AR'!$E$8:$E$43,'Reliquidación AR'!$B9,'Entrada AR'!H$8:H$43)</f>
        <v>178359</v>
      </c>
      <c r="F9" s="41">
        <f>SUMIF('Entrada AR'!$E$8:$E$43,'Reliquidación AR'!$B9,'Entrada AR'!I$8:I$43)</f>
        <v>51193</v>
      </c>
      <c r="G9" s="41">
        <f>SUMIF('Entrada AR'!$E$8:$E$43,'Reliquidación AR'!$B9,'Entrada AR'!J$8:J$43)</f>
        <v>-37709062.67653048</v>
      </c>
      <c r="H9" s="41">
        <v>0</v>
      </c>
      <c r="I9" s="41">
        <f>H9*($I$4+1)</f>
        <v>0</v>
      </c>
      <c r="J9" s="41">
        <v>0</v>
      </c>
      <c r="K9" s="41">
        <f>+J9*($I$4+1)</f>
        <v>0</v>
      </c>
      <c r="L9" s="41">
        <f>+'Reliquidación TD'!O9</f>
        <v>0</v>
      </c>
      <c r="M9" s="41">
        <f t="shared" ref="M9:M43" si="0">G9+I9+K9</f>
        <v>-37709062.67653048</v>
      </c>
      <c r="N9" s="41">
        <f>IF(M9&lt;0,-M9,0)</f>
        <v>37709062.67653048</v>
      </c>
      <c r="O9" s="41">
        <f>IF(M9&gt;0,M9,0)</f>
        <v>0</v>
      </c>
      <c r="P9" s="41">
        <f t="shared" ref="P9:P42" si="1">IF(OR($N$44=0,$O$44=0),0,(N9/$N$44-O9/$O$44)*$O$49)</f>
        <v>37709062.67653048</v>
      </c>
      <c r="Q9" s="41">
        <f>M9+P9</f>
        <v>0</v>
      </c>
      <c r="R9" s="41">
        <v>0</v>
      </c>
      <c r="S9" s="41">
        <f>+Q9+R9</f>
        <v>0</v>
      </c>
    </row>
    <row r="10" spans="2:19" x14ac:dyDescent="0.2">
      <c r="B10" s="42" t="s">
        <v>15</v>
      </c>
      <c r="C10" s="43">
        <f>SUMIF('Entrada AR'!$E$8:$E$43,'Reliquidación AR'!$B10,'Entrada AR'!F$8:F$43)</f>
        <v>1096154</v>
      </c>
      <c r="D10" s="43">
        <f>SUMIF('Entrada AR'!$E$8:$E$43,'Reliquidación AR'!$B10,'Entrada AR'!G$8:G$43)</f>
        <v>4377593</v>
      </c>
      <c r="E10" s="43">
        <f>SUMIF('Entrada AR'!$E$8:$E$43,'Reliquidación AR'!$B10,'Entrada AR'!H$8:H$43)</f>
        <v>1652</v>
      </c>
      <c r="F10" s="43">
        <f>SUMIF('Entrada AR'!$E$8:$E$43,'Reliquidación AR'!$B10,'Entrada AR'!I$8:I$43)</f>
        <v>29639</v>
      </c>
      <c r="G10" s="43">
        <f>SUMIF('Entrada AR'!$E$8:$E$43,'Reliquidación AR'!$B10,'Entrada AR'!J$8:J$43)</f>
        <v>-35343846.864618599</v>
      </c>
      <c r="H10" s="43">
        <v>0</v>
      </c>
      <c r="I10" s="43">
        <f t="shared" ref="I10:I40" si="2">H10*($I$4+1)</f>
        <v>0</v>
      </c>
      <c r="J10" s="43">
        <v>0</v>
      </c>
      <c r="K10" s="43">
        <f t="shared" ref="K10:K43" si="3">+J10*($I$4+1)</f>
        <v>0</v>
      </c>
      <c r="L10" s="43">
        <f>+'Reliquidación TD'!O10</f>
        <v>0</v>
      </c>
      <c r="M10" s="43">
        <f t="shared" si="0"/>
        <v>-35343846.864618599</v>
      </c>
      <c r="N10" s="43">
        <f t="shared" ref="N10:N43" si="4">IF(M10&lt;0,-M10,0)</f>
        <v>35343846.864618599</v>
      </c>
      <c r="O10" s="43">
        <f t="shared" ref="O10:O43" si="5">IF(M10&gt;0,M10,0)</f>
        <v>0</v>
      </c>
      <c r="P10" s="43">
        <f t="shared" si="1"/>
        <v>35343846.864618599</v>
      </c>
      <c r="Q10" s="43">
        <f t="shared" ref="Q10:Q43" si="6">M10+P10</f>
        <v>0</v>
      </c>
      <c r="R10" s="43">
        <v>0</v>
      </c>
      <c r="S10" s="43">
        <f t="shared" ref="S10:S43" si="7">+Q10+R10</f>
        <v>0</v>
      </c>
    </row>
    <row r="11" spans="2:19" x14ac:dyDescent="0.2">
      <c r="B11" s="42" t="s">
        <v>16</v>
      </c>
      <c r="C11" s="43">
        <f>SUMIF('Entrada AR'!$E$8:$E$43,'Reliquidación AR'!$B11,'Entrada AR'!F$8:F$43)</f>
        <v>1794659.36</v>
      </c>
      <c r="D11" s="43">
        <f>SUMIF('Entrada AR'!$E$8:$E$43,'Reliquidación AR'!$B11,'Entrada AR'!G$8:G$43)</f>
        <v>5969691.0329999998</v>
      </c>
      <c r="E11" s="43">
        <f>SUMIF('Entrada AR'!$E$8:$E$43,'Reliquidación AR'!$B11,'Entrada AR'!H$8:H$43)</f>
        <v>0</v>
      </c>
      <c r="F11" s="43">
        <f>SUMIF('Entrada AR'!$E$8:$E$43,'Reliquidación AR'!$B11,'Entrada AR'!I$8:I$43)</f>
        <v>24727</v>
      </c>
      <c r="G11" s="43">
        <f>SUMIF('Entrada AR'!$E$8:$E$43,'Reliquidación AR'!$B11,'Entrada AR'!J$8:J$43)</f>
        <v>625806.18974268413</v>
      </c>
      <c r="H11" s="43">
        <v>2764291.963977858</v>
      </c>
      <c r="I11" s="43">
        <f t="shared" si="2"/>
        <v>2778221.7667078702</v>
      </c>
      <c r="J11" s="43">
        <v>0</v>
      </c>
      <c r="K11" s="43">
        <f t="shared" si="3"/>
        <v>0</v>
      </c>
      <c r="L11" s="43">
        <f>+'Reliquidación TD'!O11</f>
        <v>-179101.6958384903</v>
      </c>
      <c r="M11" s="43">
        <f t="shared" si="0"/>
        <v>3404027.9564505545</v>
      </c>
      <c r="N11" s="43">
        <f t="shared" si="4"/>
        <v>0</v>
      </c>
      <c r="O11" s="43">
        <f t="shared" si="5"/>
        <v>3404027.9564505545</v>
      </c>
      <c r="P11" s="43">
        <f t="shared" si="1"/>
        <v>-1289007.7181241433</v>
      </c>
      <c r="Q11" s="43">
        <f t="shared" si="6"/>
        <v>2115020.2383264112</v>
      </c>
      <c r="R11" s="43">
        <v>0</v>
      </c>
      <c r="S11" s="43">
        <f t="shared" si="7"/>
        <v>2115020.2383264112</v>
      </c>
    </row>
    <row r="12" spans="2:19" x14ac:dyDescent="0.2">
      <c r="B12" s="42" t="s">
        <v>17</v>
      </c>
      <c r="C12" s="43">
        <f>SUMIF('Entrada AR'!$E$8:$E$43,'Reliquidación AR'!$B12,'Entrada AR'!F$8:F$43)</f>
        <v>484040</v>
      </c>
      <c r="D12" s="43">
        <f>SUMIF('Entrada AR'!$E$8:$E$43,'Reliquidación AR'!$B12,'Entrada AR'!G$8:G$43)</f>
        <v>1275896</v>
      </c>
      <c r="E12" s="43">
        <f>SUMIF('Entrada AR'!$E$8:$E$43,'Reliquidación AR'!$B12,'Entrada AR'!H$8:H$43)</f>
        <v>0</v>
      </c>
      <c r="F12" s="43">
        <f>SUMIF('Entrada AR'!$E$8:$E$43,'Reliquidación AR'!$B12,'Entrada AR'!I$8:I$43)</f>
        <v>0</v>
      </c>
      <c r="G12" s="43">
        <f>SUMIF('Entrada AR'!$E$8:$E$43,'Reliquidación AR'!$B12,'Entrada AR'!J$8:J$43)</f>
        <v>-938447.01956159051</v>
      </c>
      <c r="H12" s="43">
        <v>0</v>
      </c>
      <c r="I12" s="43">
        <f t="shared" si="2"/>
        <v>0</v>
      </c>
      <c r="J12" s="43">
        <v>0</v>
      </c>
      <c r="K12" s="43">
        <f t="shared" si="3"/>
        <v>0</v>
      </c>
      <c r="L12" s="43">
        <f>+'Reliquidación TD'!O12</f>
        <v>0</v>
      </c>
      <c r="M12" s="43">
        <f t="shared" si="0"/>
        <v>-938447.01956159051</v>
      </c>
      <c r="N12" s="43">
        <f t="shared" si="4"/>
        <v>938447.01956159051</v>
      </c>
      <c r="O12" s="43">
        <f t="shared" si="5"/>
        <v>0</v>
      </c>
      <c r="P12" s="43">
        <f t="shared" si="1"/>
        <v>938447.01956159051</v>
      </c>
      <c r="Q12" s="43">
        <f t="shared" si="6"/>
        <v>0</v>
      </c>
      <c r="R12" s="43">
        <v>0</v>
      </c>
      <c r="S12" s="43">
        <f t="shared" si="7"/>
        <v>0</v>
      </c>
    </row>
    <row r="13" spans="2:19" x14ac:dyDescent="0.2">
      <c r="B13" s="42" t="s">
        <v>18</v>
      </c>
      <c r="C13" s="43">
        <f>SUMIF('Entrada AR'!$E$8:$E$43,'Reliquidación AR'!$B13,'Entrada AR'!F$8:F$43)</f>
        <v>205758641.80500001</v>
      </c>
      <c r="D13" s="43">
        <f>SUMIF('Entrada AR'!$E$8:$E$43,'Reliquidación AR'!$B13,'Entrada AR'!G$8:G$43)</f>
        <v>428742887.85100001</v>
      </c>
      <c r="E13" s="43">
        <f>SUMIF('Entrada AR'!$E$8:$E$43,'Reliquidación AR'!$B13,'Entrada AR'!H$8:H$43)</f>
        <v>4367319.7060000002</v>
      </c>
      <c r="F13" s="43">
        <f>SUMIF('Entrada AR'!$E$8:$E$43,'Reliquidación AR'!$B13,'Entrada AR'!I$8:I$43)</f>
        <v>1666562.73</v>
      </c>
      <c r="G13" s="43">
        <f>SUMIF('Entrada AR'!$E$8:$E$43,'Reliquidación AR'!$B13,'Entrada AR'!J$8:J$43)</f>
        <v>41731545.178234607</v>
      </c>
      <c r="H13" s="43">
        <v>0</v>
      </c>
      <c r="I13" s="43">
        <f t="shared" si="2"/>
        <v>0</v>
      </c>
      <c r="J13" s="43">
        <v>0</v>
      </c>
      <c r="K13" s="43">
        <f t="shared" si="3"/>
        <v>0</v>
      </c>
      <c r="L13" s="43">
        <f>+'Reliquidación TD'!O13</f>
        <v>-4145.3623498972302</v>
      </c>
      <c r="M13" s="43">
        <f t="shared" si="0"/>
        <v>41731545.178234607</v>
      </c>
      <c r="N13" s="43">
        <f t="shared" si="4"/>
        <v>0</v>
      </c>
      <c r="O13" s="43">
        <f t="shared" si="5"/>
        <v>41731545.178234607</v>
      </c>
      <c r="P13" s="43">
        <f t="shared" si="1"/>
        <v>-15802538.789981337</v>
      </c>
      <c r="Q13" s="43">
        <f t="shared" si="6"/>
        <v>25929006.388253272</v>
      </c>
      <c r="R13" s="43">
        <v>0</v>
      </c>
      <c r="S13" s="43">
        <f t="shared" si="7"/>
        <v>25929006.388253272</v>
      </c>
    </row>
    <row r="14" spans="2:19" x14ac:dyDescent="0.2">
      <c r="B14" s="42" t="s">
        <v>20</v>
      </c>
      <c r="C14" s="43">
        <f>SUMIF('Entrada AR'!$E$8:$E$43,'Reliquidación AR'!$B14,'Entrada AR'!F$8:F$43)</f>
        <v>259592.5</v>
      </c>
      <c r="D14" s="43">
        <f>SUMIF('Entrada AR'!$E$8:$E$43,'Reliquidación AR'!$B14,'Entrada AR'!G$8:G$43)</f>
        <v>880990.46799999999</v>
      </c>
      <c r="E14" s="43">
        <f>SUMIF('Entrada AR'!$E$8:$E$43,'Reliquidación AR'!$B14,'Entrada AR'!H$8:H$43)</f>
        <v>0</v>
      </c>
      <c r="F14" s="43">
        <f>SUMIF('Entrada AR'!$E$8:$E$43,'Reliquidación AR'!$B14,'Entrada AR'!I$8:I$43)</f>
        <v>0</v>
      </c>
      <c r="G14" s="43">
        <f>SUMIF('Entrada AR'!$E$8:$E$43,'Reliquidación AR'!$B14,'Entrada AR'!J$8:J$43)</f>
        <v>230592.18838842559</v>
      </c>
      <c r="H14" s="43">
        <v>208820.2946923853</v>
      </c>
      <c r="I14" s="43">
        <f>H14*($I$4+1)</f>
        <v>209872.58061188782</v>
      </c>
      <c r="J14" s="43">
        <v>0</v>
      </c>
      <c r="K14" s="43">
        <f t="shared" si="3"/>
        <v>0</v>
      </c>
      <c r="L14" s="43">
        <f>+'Reliquidación TD'!O14</f>
        <v>0</v>
      </c>
      <c r="M14" s="43">
        <f t="shared" si="0"/>
        <v>440464.76900031342</v>
      </c>
      <c r="N14" s="43">
        <f t="shared" si="4"/>
        <v>0</v>
      </c>
      <c r="O14" s="43">
        <f t="shared" si="5"/>
        <v>440464.76900031342</v>
      </c>
      <c r="P14" s="43">
        <f t="shared" si="1"/>
        <v>-166791.37012587546</v>
      </c>
      <c r="Q14" s="43">
        <f t="shared" si="6"/>
        <v>273673.39887443796</v>
      </c>
      <c r="R14" s="43">
        <v>0</v>
      </c>
      <c r="S14" s="43">
        <f t="shared" si="7"/>
        <v>273673.39887443796</v>
      </c>
    </row>
    <row r="15" spans="2:19" x14ac:dyDescent="0.2">
      <c r="B15" s="42" t="s">
        <v>21</v>
      </c>
      <c r="C15" s="43">
        <f>SUMIF('Entrada AR'!$E$8:$E$43,'Reliquidación AR'!$B15,'Entrada AR'!F$8:F$43)</f>
        <v>12632883.048</v>
      </c>
      <c r="D15" s="43">
        <f>SUMIF('Entrada AR'!$E$8:$E$43,'Reliquidación AR'!$B15,'Entrada AR'!G$8:G$43)</f>
        <v>18870597.596999999</v>
      </c>
      <c r="E15" s="43">
        <f>SUMIF('Entrada AR'!$E$8:$E$43,'Reliquidación AR'!$B15,'Entrada AR'!H$8:H$43)</f>
        <v>307080.18300000002</v>
      </c>
      <c r="F15" s="43">
        <f>SUMIF('Entrada AR'!$E$8:$E$43,'Reliquidación AR'!$B15,'Entrada AR'!I$8:I$43)</f>
        <v>51796.796000000002</v>
      </c>
      <c r="G15" s="43">
        <f>SUMIF('Entrada AR'!$E$8:$E$43,'Reliquidación AR'!$B15,'Entrada AR'!J$8:J$43)</f>
        <v>2711682.4210915659</v>
      </c>
      <c r="H15" s="43">
        <v>0</v>
      </c>
      <c r="I15" s="43">
        <f t="shared" si="2"/>
        <v>0</v>
      </c>
      <c r="J15" s="43">
        <v>0</v>
      </c>
      <c r="K15" s="43">
        <f t="shared" si="3"/>
        <v>0</v>
      </c>
      <c r="L15" s="43">
        <f>+'Reliquidación TD'!O15</f>
        <v>49109.571509007081</v>
      </c>
      <c r="M15" s="43">
        <f t="shared" si="0"/>
        <v>2711682.4210915659</v>
      </c>
      <c r="N15" s="43">
        <f t="shared" si="4"/>
        <v>0</v>
      </c>
      <c r="O15" s="43">
        <f t="shared" si="5"/>
        <v>2711682.4210915659</v>
      </c>
      <c r="P15" s="43">
        <f t="shared" si="1"/>
        <v>-1026836.3287865858</v>
      </c>
      <c r="Q15" s="43">
        <f t="shared" si="6"/>
        <v>1684846.0923049799</v>
      </c>
      <c r="R15" s="43">
        <v>0</v>
      </c>
      <c r="S15" s="43">
        <f t="shared" si="7"/>
        <v>1684846.0923049799</v>
      </c>
    </row>
    <row r="16" spans="2:19" x14ac:dyDescent="0.2">
      <c r="B16" s="42" t="s">
        <v>22</v>
      </c>
      <c r="C16" s="43">
        <f>SUMIF('Entrada AR'!$E$8:$E$43,'Reliquidación AR'!$B16,'Entrada AR'!F$8:F$43)</f>
        <v>0</v>
      </c>
      <c r="D16" s="43">
        <f>SUMIF('Entrada AR'!$E$8:$E$43,'Reliquidación AR'!$B16,'Entrada AR'!G$8:G$43)</f>
        <v>0</v>
      </c>
      <c r="E16" s="43">
        <f>SUMIF('Entrada AR'!$E$8:$E$43,'Reliquidación AR'!$B16,'Entrada AR'!H$8:H$43)</f>
        <v>0</v>
      </c>
      <c r="F16" s="43">
        <f>SUMIF('Entrada AR'!$E$8:$E$43,'Reliquidación AR'!$B16,'Entrada AR'!I$8:I$43)</f>
        <v>0</v>
      </c>
      <c r="G16" s="43">
        <f>SUMIF('Entrada AR'!$E$8:$E$43,'Reliquidación AR'!$B16,'Entrada AR'!J$8:J$43)</f>
        <v>0</v>
      </c>
      <c r="H16" s="43">
        <v>0</v>
      </c>
      <c r="I16" s="43">
        <f t="shared" si="2"/>
        <v>0</v>
      </c>
      <c r="J16" s="43">
        <v>0</v>
      </c>
      <c r="K16" s="43">
        <f t="shared" si="3"/>
        <v>0</v>
      </c>
      <c r="L16" s="43">
        <f>+'Reliquidación TD'!O16</f>
        <v>0</v>
      </c>
      <c r="M16" s="43">
        <f t="shared" si="0"/>
        <v>0</v>
      </c>
      <c r="N16" s="43">
        <f t="shared" si="4"/>
        <v>0</v>
      </c>
      <c r="O16" s="43">
        <f t="shared" si="5"/>
        <v>0</v>
      </c>
      <c r="P16" s="43">
        <f t="shared" si="1"/>
        <v>0</v>
      </c>
      <c r="Q16" s="43">
        <f t="shared" si="6"/>
        <v>0</v>
      </c>
      <c r="R16" s="43">
        <v>0</v>
      </c>
      <c r="S16" s="43">
        <f t="shared" si="7"/>
        <v>0</v>
      </c>
    </row>
    <row r="17" spans="2:19" x14ac:dyDescent="0.2">
      <c r="B17" s="42" t="s">
        <v>23</v>
      </c>
      <c r="C17" s="43">
        <f>SUMIF('Entrada AR'!$E$8:$E$43,'Reliquidación AR'!$B17,'Entrada AR'!F$8:F$43)</f>
        <v>0</v>
      </c>
      <c r="D17" s="43">
        <f>SUMIF('Entrada AR'!$E$8:$E$43,'Reliquidación AR'!$B17,'Entrada AR'!G$8:G$43)</f>
        <v>0</v>
      </c>
      <c r="E17" s="43">
        <f>SUMIF('Entrada AR'!$E$8:$E$43,'Reliquidación AR'!$B17,'Entrada AR'!H$8:H$43)</f>
        <v>0</v>
      </c>
      <c r="F17" s="43">
        <f>SUMIF('Entrada AR'!$E$8:$E$43,'Reliquidación AR'!$B17,'Entrada AR'!I$8:I$43)</f>
        <v>0</v>
      </c>
      <c r="G17" s="43">
        <f>SUMIF('Entrada AR'!$E$8:$E$43,'Reliquidación AR'!$B17,'Entrada AR'!J$8:J$43)</f>
        <v>0</v>
      </c>
      <c r="H17" s="43">
        <v>0</v>
      </c>
      <c r="I17" s="43">
        <f t="shared" si="2"/>
        <v>0</v>
      </c>
      <c r="J17" s="43">
        <v>0</v>
      </c>
      <c r="K17" s="43">
        <f t="shared" si="3"/>
        <v>0</v>
      </c>
      <c r="L17" s="43">
        <f>+'Reliquidación TD'!O17</f>
        <v>0</v>
      </c>
      <c r="M17" s="43">
        <f t="shared" si="0"/>
        <v>0</v>
      </c>
      <c r="N17" s="43">
        <f t="shared" si="4"/>
        <v>0</v>
      </c>
      <c r="O17" s="43">
        <f t="shared" si="5"/>
        <v>0</v>
      </c>
      <c r="P17" s="43">
        <f t="shared" si="1"/>
        <v>0</v>
      </c>
      <c r="Q17" s="43">
        <f t="shared" si="6"/>
        <v>0</v>
      </c>
      <c r="R17" s="43">
        <v>0</v>
      </c>
      <c r="S17" s="43">
        <f t="shared" si="7"/>
        <v>0</v>
      </c>
    </row>
    <row r="18" spans="2:19" x14ac:dyDescent="0.2">
      <c r="B18" s="42" t="s">
        <v>24</v>
      </c>
      <c r="C18" s="43">
        <f>SUMIF('Entrada AR'!$E$8:$E$43,'Reliquidación AR'!$B18,'Entrada AR'!F$8:F$43)+SUMIF('Entrada AR'!$E$8:$E$43,"LUZ ANDES",'Entrada AR'!F$8:F$43)</f>
        <v>105835490.837</v>
      </c>
      <c r="D18" s="43">
        <f>SUMIF('Entrada AR'!$E$8:$E$43,'Reliquidación AR'!$B18,'Entrada AR'!G$8:G$43)+SUMIF('Entrada AR'!$E$8:$E$43,"LUZ ANDES",'Entrada AR'!G$8:G$43)</f>
        <v>550758138.64954495</v>
      </c>
      <c r="E18" s="43">
        <f>SUMIF('Entrada AR'!$E$8:$E$43,'Reliquidación AR'!$B18,'Entrada AR'!H$8:H$43)+SUMIF('Entrada AR'!$E$8:$E$43,"LUZ ANDES",'Entrada AR'!H$8:H$43)</f>
        <v>873990.5</v>
      </c>
      <c r="F18" s="43">
        <f>SUMIF('Entrada AR'!$E$8:$E$43,'Reliquidación AR'!$B18,'Entrada AR'!I$8:I$43)+SUMIF('Entrada AR'!$E$8:$E$43,"LUZ ANDES",'Entrada AR'!I$8:I$43)</f>
        <v>1597844.621</v>
      </c>
      <c r="G18" s="43">
        <f>SUMIF('Entrada AR'!$E$8:$E$43,'Reliquidación AR'!$B18,'Entrada AR'!J$8:J$43)+SUMIF('Entrada AR'!$E$8:$E$43,"LUZ ANDES",'Entrada AR'!J$8:J$43)</f>
        <v>69703199.721994281</v>
      </c>
      <c r="H18" s="43">
        <v>157402591.02394289</v>
      </c>
      <c r="I18" s="43">
        <f t="shared" si="2"/>
        <v>158195773.17355964</v>
      </c>
      <c r="J18" s="43">
        <v>0</v>
      </c>
      <c r="K18" s="43">
        <f t="shared" si="3"/>
        <v>0</v>
      </c>
      <c r="L18" s="43">
        <f>+'Reliquidación TD'!O18</f>
        <v>-2923.0341323939533</v>
      </c>
      <c r="M18" s="43">
        <f t="shared" si="0"/>
        <v>227898972.89555392</v>
      </c>
      <c r="N18" s="43">
        <f t="shared" si="4"/>
        <v>0</v>
      </c>
      <c r="O18" s="43">
        <f t="shared" si="5"/>
        <v>227898972.89555392</v>
      </c>
      <c r="P18" s="43">
        <f t="shared" si="1"/>
        <v>-86298802.117138565</v>
      </c>
      <c r="Q18" s="43">
        <f t="shared" si="6"/>
        <v>141600170.77841535</v>
      </c>
      <c r="R18" s="43">
        <v>0</v>
      </c>
      <c r="S18" s="43">
        <f t="shared" si="7"/>
        <v>141600170.77841535</v>
      </c>
    </row>
    <row r="19" spans="2:19" x14ac:dyDescent="0.2">
      <c r="B19" s="42" t="s">
        <v>26</v>
      </c>
      <c r="C19" s="43">
        <f>SUMIF('Entrada AR'!$E$8:$E$43,'Reliquidación AR'!$B19,'Entrada AR'!F$8:F$43)</f>
        <v>37003444.303000003</v>
      </c>
      <c r="D19" s="43">
        <f>SUMIF('Entrada AR'!$E$8:$E$43,'Reliquidación AR'!$B19,'Entrada AR'!G$8:G$43)</f>
        <v>66992934.467</v>
      </c>
      <c r="E19" s="43">
        <f>SUMIF('Entrada AR'!$E$8:$E$43,'Reliquidación AR'!$B19,'Entrada AR'!H$8:H$43)</f>
        <v>990964.64199999999</v>
      </c>
      <c r="F19" s="43">
        <f>SUMIF('Entrada AR'!$E$8:$E$43,'Reliquidación AR'!$B19,'Entrada AR'!I$8:I$43)</f>
        <v>216428.342</v>
      </c>
      <c r="G19" s="43">
        <f>SUMIF('Entrada AR'!$E$8:$E$43,'Reliquidación AR'!$B19,'Entrada AR'!J$8:J$43)</f>
        <v>6042482.2017520443</v>
      </c>
      <c r="H19" s="43">
        <v>0</v>
      </c>
      <c r="I19" s="43">
        <f t="shared" si="2"/>
        <v>0</v>
      </c>
      <c r="J19" s="43">
        <v>0</v>
      </c>
      <c r="K19" s="43">
        <f t="shared" si="3"/>
        <v>0</v>
      </c>
      <c r="L19" s="43">
        <f>+'Reliquidación TD'!O19</f>
        <v>42654.48450184839</v>
      </c>
      <c r="M19" s="43">
        <f t="shared" si="0"/>
        <v>6042482.2017520443</v>
      </c>
      <c r="N19" s="43">
        <f t="shared" si="4"/>
        <v>0</v>
      </c>
      <c r="O19" s="43">
        <f t="shared" si="5"/>
        <v>6042482.2017520443</v>
      </c>
      <c r="P19" s="43">
        <f t="shared" si="1"/>
        <v>-2288114.6378150461</v>
      </c>
      <c r="Q19" s="43">
        <f t="shared" si="6"/>
        <v>3754367.5639369981</v>
      </c>
      <c r="R19" s="43">
        <v>0</v>
      </c>
      <c r="S19" s="43">
        <f t="shared" si="7"/>
        <v>3754367.5639369981</v>
      </c>
    </row>
    <row r="20" spans="2:19" x14ac:dyDescent="0.2">
      <c r="B20" s="42" t="s">
        <v>27</v>
      </c>
      <c r="C20" s="43">
        <f>SUMIF('Entrada AR'!$E$8:$E$43,'Reliquidación AR'!$B20,'Entrada AR'!F$8:F$43)</f>
        <v>4648902.6469999999</v>
      </c>
      <c r="D20" s="43">
        <f>SUMIF('Entrada AR'!$E$8:$E$43,'Reliquidación AR'!$B20,'Entrada AR'!G$8:G$43)</f>
        <v>16498351.562000001</v>
      </c>
      <c r="E20" s="43">
        <f>SUMIF('Entrada AR'!$E$8:$E$43,'Reliquidación AR'!$B20,'Entrada AR'!H$8:H$43)</f>
        <v>0</v>
      </c>
      <c r="F20" s="43">
        <f>SUMIF('Entrada AR'!$E$8:$E$43,'Reliquidación AR'!$B20,'Entrada AR'!I$8:I$43)</f>
        <v>31365.406999999999</v>
      </c>
      <c r="G20" s="43">
        <f>SUMIF('Entrada AR'!$E$8:$E$43,'Reliquidación AR'!$B20,'Entrada AR'!J$8:J$43)</f>
        <v>819453.25412159471</v>
      </c>
      <c r="H20" s="43">
        <v>0</v>
      </c>
      <c r="I20" s="43">
        <f t="shared" si="2"/>
        <v>0</v>
      </c>
      <c r="J20" s="43">
        <v>0</v>
      </c>
      <c r="K20" s="43">
        <f t="shared" si="3"/>
        <v>0</v>
      </c>
      <c r="L20" s="43">
        <f>+'Reliquidación TD'!O20</f>
        <v>-2.304440921993248</v>
      </c>
      <c r="M20" s="43">
        <f t="shared" si="0"/>
        <v>819453.25412159471</v>
      </c>
      <c r="N20" s="43">
        <f t="shared" si="4"/>
        <v>0</v>
      </c>
      <c r="O20" s="43">
        <f t="shared" si="5"/>
        <v>819453.25412159471</v>
      </c>
      <c r="P20" s="43">
        <f t="shared" si="1"/>
        <v>-310303.43543537922</v>
      </c>
      <c r="Q20" s="43">
        <f t="shared" si="6"/>
        <v>509149.8186862155</v>
      </c>
      <c r="R20" s="43">
        <v>0</v>
      </c>
      <c r="S20" s="43">
        <f t="shared" si="7"/>
        <v>509149.8186862155</v>
      </c>
    </row>
    <row r="21" spans="2:19" x14ac:dyDescent="0.2">
      <c r="B21" s="42" t="s">
        <v>28</v>
      </c>
      <c r="C21" s="43">
        <f>SUMIF('Entrada AR'!$E$8:$E$43,'Reliquidación AR'!$B21,'Entrada AR'!F$8:F$43)</f>
        <v>0</v>
      </c>
      <c r="D21" s="43">
        <f>SUMIF('Entrada AR'!$E$8:$E$43,'Reliquidación AR'!$B21,'Entrada AR'!G$8:G$43)</f>
        <v>0</v>
      </c>
      <c r="E21" s="43">
        <f>SUMIF('Entrada AR'!$E$8:$E$43,'Reliquidación AR'!$B21,'Entrada AR'!H$8:H$43)</f>
        <v>0</v>
      </c>
      <c r="F21" s="43">
        <f>SUMIF('Entrada AR'!$E$8:$E$43,'Reliquidación AR'!$B21,'Entrada AR'!I$8:I$43)</f>
        <v>0</v>
      </c>
      <c r="G21" s="43">
        <f>SUMIF('Entrada AR'!$E$8:$E$43,'Reliquidación AR'!$B21,'Entrada AR'!J$8:J$43)</f>
        <v>0</v>
      </c>
      <c r="H21" s="43">
        <v>0</v>
      </c>
      <c r="I21" s="43">
        <f t="shared" si="2"/>
        <v>0</v>
      </c>
      <c r="J21" s="43">
        <v>0</v>
      </c>
      <c r="K21" s="43">
        <f t="shared" si="3"/>
        <v>0</v>
      </c>
      <c r="L21" s="43">
        <f>+'Reliquidación TD'!O21</f>
        <v>0</v>
      </c>
      <c r="M21" s="43">
        <f t="shared" si="0"/>
        <v>0</v>
      </c>
      <c r="N21" s="43">
        <f t="shared" si="4"/>
        <v>0</v>
      </c>
      <c r="O21" s="43">
        <f t="shared" si="5"/>
        <v>0</v>
      </c>
      <c r="P21" s="43">
        <f t="shared" si="1"/>
        <v>0</v>
      </c>
      <c r="Q21" s="43">
        <f t="shared" si="6"/>
        <v>0</v>
      </c>
      <c r="R21" s="43">
        <v>0</v>
      </c>
      <c r="S21" s="43">
        <f t="shared" si="7"/>
        <v>0</v>
      </c>
    </row>
    <row r="22" spans="2:19" x14ac:dyDescent="0.2">
      <c r="B22" s="42" t="s">
        <v>29</v>
      </c>
      <c r="C22" s="43">
        <f>SUMIF('Entrada AR'!$E$8:$E$43,'Reliquidación AR'!$B22,'Entrada AR'!F$8:F$43)</f>
        <v>2529575</v>
      </c>
      <c r="D22" s="43">
        <f>SUMIF('Entrada AR'!$E$8:$E$43,'Reliquidación AR'!$B22,'Entrada AR'!G$8:G$43)</f>
        <v>6943345</v>
      </c>
      <c r="E22" s="43">
        <f>SUMIF('Entrada AR'!$E$8:$E$43,'Reliquidación AR'!$B22,'Entrada AR'!H$8:H$43)</f>
        <v>512</v>
      </c>
      <c r="F22" s="43">
        <f>SUMIF('Entrada AR'!$E$8:$E$43,'Reliquidación AR'!$B22,'Entrada AR'!I$8:I$43)</f>
        <v>20437</v>
      </c>
      <c r="G22" s="43">
        <f>SUMIF('Entrada AR'!$E$8:$E$43,'Reliquidación AR'!$B22,'Entrada AR'!J$8:J$43)</f>
        <v>-70494562.454550624</v>
      </c>
      <c r="H22" s="43">
        <v>0</v>
      </c>
      <c r="I22" s="43">
        <f t="shared" si="2"/>
        <v>0</v>
      </c>
      <c r="J22" s="43">
        <v>0</v>
      </c>
      <c r="K22" s="43">
        <f t="shared" si="3"/>
        <v>0</v>
      </c>
      <c r="L22" s="43">
        <f>+'Reliquidación TD'!O22</f>
        <v>0</v>
      </c>
      <c r="M22" s="43">
        <f t="shared" si="0"/>
        <v>-70494562.454550624</v>
      </c>
      <c r="N22" s="43">
        <f t="shared" si="4"/>
        <v>70494562.454550624</v>
      </c>
      <c r="O22" s="43">
        <f t="shared" si="5"/>
        <v>0</v>
      </c>
      <c r="P22" s="43">
        <f t="shared" si="1"/>
        <v>70494562.454550624</v>
      </c>
      <c r="Q22" s="43">
        <f t="shared" si="6"/>
        <v>0</v>
      </c>
      <c r="R22" s="43">
        <v>0</v>
      </c>
      <c r="S22" s="43">
        <f t="shared" si="7"/>
        <v>0</v>
      </c>
    </row>
    <row r="23" spans="2:19" x14ac:dyDescent="0.2">
      <c r="B23" s="42" t="s">
        <v>30</v>
      </c>
      <c r="C23" s="43">
        <f>SUMIF('Entrada AR'!$E$8:$E$43,'Reliquidación AR'!$B23,'Entrada AR'!F$8:F$43)</f>
        <v>7634817</v>
      </c>
      <c r="D23" s="43">
        <f>SUMIF('Entrada AR'!$E$8:$E$43,'Reliquidación AR'!$B23,'Entrada AR'!G$8:G$43)</f>
        <v>15346168</v>
      </c>
      <c r="E23" s="43">
        <f>SUMIF('Entrada AR'!$E$8:$E$43,'Reliquidación AR'!$B23,'Entrada AR'!H$8:H$43)</f>
        <v>563296</v>
      </c>
      <c r="F23" s="43">
        <f>SUMIF('Entrada AR'!$E$8:$E$43,'Reliquidación AR'!$B23,'Entrada AR'!I$8:I$43)</f>
        <v>144432</v>
      </c>
      <c r="G23" s="43">
        <f>SUMIF('Entrada AR'!$E$8:$E$43,'Reliquidación AR'!$B23,'Entrada AR'!J$8:J$43)</f>
        <v>1777228.499098748</v>
      </c>
      <c r="H23" s="43">
        <v>5693642.3983536437</v>
      </c>
      <c r="I23" s="43">
        <f t="shared" si="2"/>
        <v>5722333.7654226162</v>
      </c>
      <c r="J23" s="43">
        <v>0</v>
      </c>
      <c r="K23" s="43">
        <f t="shared" si="3"/>
        <v>0</v>
      </c>
      <c r="L23" s="43">
        <f>+'Reliquidación TD'!O23</f>
        <v>0</v>
      </c>
      <c r="M23" s="43">
        <f t="shared" si="0"/>
        <v>7499562.2645213641</v>
      </c>
      <c r="N23" s="43">
        <f t="shared" si="4"/>
        <v>0</v>
      </c>
      <c r="O23" s="43">
        <f t="shared" si="5"/>
        <v>7499562.2645213641</v>
      </c>
      <c r="P23" s="43">
        <f t="shared" si="1"/>
        <v>-2839869.0507819969</v>
      </c>
      <c r="Q23" s="43">
        <f t="shared" si="6"/>
        <v>4659693.2137393672</v>
      </c>
      <c r="R23" s="43">
        <v>0</v>
      </c>
      <c r="S23" s="43">
        <f t="shared" si="7"/>
        <v>4659693.2137393672</v>
      </c>
    </row>
    <row r="24" spans="2:19" x14ac:dyDescent="0.2">
      <c r="B24" s="42" t="s">
        <v>31</v>
      </c>
      <c r="C24" s="43">
        <f>SUMIF('Entrada AR'!$E$8:$E$43,'Reliquidación AR'!$B24,'Entrada AR'!F$8:F$43)</f>
        <v>1710055</v>
      </c>
      <c r="D24" s="43">
        <f>SUMIF('Entrada AR'!$E$8:$E$43,'Reliquidación AR'!$B24,'Entrada AR'!G$8:G$43)</f>
        <v>12801357</v>
      </c>
      <c r="E24" s="43">
        <f>SUMIF('Entrada AR'!$E$8:$E$43,'Reliquidación AR'!$B24,'Entrada AR'!H$8:H$43)</f>
        <v>23</v>
      </c>
      <c r="F24" s="43">
        <f>SUMIF('Entrada AR'!$E$8:$E$43,'Reliquidación AR'!$B24,'Entrada AR'!I$8:I$43)</f>
        <v>75415</v>
      </c>
      <c r="G24" s="43">
        <f>SUMIF('Entrada AR'!$E$8:$E$43,'Reliquidación AR'!$B24,'Entrada AR'!J$8:J$43)</f>
        <v>1094271.2607609311</v>
      </c>
      <c r="H24" s="43">
        <v>1703932.866414136</v>
      </c>
      <c r="I24" s="43">
        <f t="shared" si="2"/>
        <v>1712519.3142292132</v>
      </c>
      <c r="J24" s="43">
        <v>0</v>
      </c>
      <c r="K24" s="43">
        <f t="shared" si="3"/>
        <v>0</v>
      </c>
      <c r="L24" s="43">
        <f>+'Reliquidación TD'!O24</f>
        <v>0</v>
      </c>
      <c r="M24" s="43">
        <f t="shared" si="0"/>
        <v>2806790.574990144</v>
      </c>
      <c r="N24" s="43">
        <f t="shared" si="4"/>
        <v>0</v>
      </c>
      <c r="O24" s="43">
        <f t="shared" si="5"/>
        <v>2806790.574990144</v>
      </c>
      <c r="P24" s="43">
        <f t="shared" si="1"/>
        <v>-1062851.057807683</v>
      </c>
      <c r="Q24" s="43">
        <f t="shared" si="6"/>
        <v>1743939.517182461</v>
      </c>
      <c r="R24" s="43">
        <v>0</v>
      </c>
      <c r="S24" s="43">
        <f t="shared" si="7"/>
        <v>1743939.517182461</v>
      </c>
    </row>
    <row r="25" spans="2:19" x14ac:dyDescent="0.2">
      <c r="B25" s="42" t="s">
        <v>32</v>
      </c>
      <c r="C25" s="43">
        <f>SUMIF('Entrada AR'!$E$8:$E$43,'Reliquidación AR'!$B25,'Entrada AR'!F$8:F$43)</f>
        <v>428150</v>
      </c>
      <c r="D25" s="43">
        <f>SUMIF('Entrada AR'!$E$8:$E$43,'Reliquidación AR'!$B25,'Entrada AR'!G$8:G$43)</f>
        <v>2819733</v>
      </c>
      <c r="E25" s="43">
        <f>SUMIF('Entrada AR'!$E$8:$E$43,'Reliquidación AR'!$B25,'Entrada AR'!H$8:H$43)</f>
        <v>224458</v>
      </c>
      <c r="F25" s="43">
        <f>SUMIF('Entrada AR'!$E$8:$E$43,'Reliquidación AR'!$B25,'Entrada AR'!I$8:I$43)</f>
        <v>18645</v>
      </c>
      <c r="G25" s="43">
        <f>SUMIF('Entrada AR'!$E$8:$E$43,'Reliquidación AR'!$B25,'Entrada AR'!J$8:J$43)</f>
        <v>-18103894.40117513</v>
      </c>
      <c r="H25" s="43">
        <v>0</v>
      </c>
      <c r="I25" s="43">
        <f t="shared" si="2"/>
        <v>0</v>
      </c>
      <c r="J25" s="43">
        <v>0</v>
      </c>
      <c r="K25" s="43">
        <f t="shared" si="3"/>
        <v>0</v>
      </c>
      <c r="L25" s="43">
        <f>+'Reliquidación TD'!O25</f>
        <v>0</v>
      </c>
      <c r="M25" s="43">
        <f t="shared" si="0"/>
        <v>-18103894.40117513</v>
      </c>
      <c r="N25" s="43">
        <f t="shared" si="4"/>
        <v>18103894.40117513</v>
      </c>
      <c r="O25" s="43">
        <f t="shared" si="5"/>
        <v>0</v>
      </c>
      <c r="P25" s="43">
        <f t="shared" si="1"/>
        <v>18103894.40117513</v>
      </c>
      <c r="Q25" s="43">
        <f t="shared" si="6"/>
        <v>0</v>
      </c>
      <c r="R25" s="43">
        <v>0</v>
      </c>
      <c r="S25" s="43">
        <f t="shared" si="7"/>
        <v>0</v>
      </c>
    </row>
    <row r="26" spans="2:19" x14ac:dyDescent="0.2">
      <c r="B26" s="42" t="s">
        <v>33</v>
      </c>
      <c r="C26" s="43">
        <f>SUMIF('Entrada AR'!$E$8:$E$43,'Reliquidación AR'!$B26,'Entrada AR'!F$8:F$43)</f>
        <v>1207749</v>
      </c>
      <c r="D26" s="43">
        <f>SUMIF('Entrada AR'!$E$8:$E$43,'Reliquidación AR'!$B26,'Entrada AR'!G$8:G$43)</f>
        <v>1958483</v>
      </c>
      <c r="E26" s="43">
        <f>SUMIF('Entrada AR'!$E$8:$E$43,'Reliquidación AR'!$B26,'Entrada AR'!H$8:H$43)</f>
        <v>123959</v>
      </c>
      <c r="F26" s="43">
        <f>SUMIF('Entrada AR'!$E$8:$E$43,'Reliquidación AR'!$B26,'Entrada AR'!I$8:I$43)</f>
        <v>14811</v>
      </c>
      <c r="G26" s="43">
        <f>SUMIF('Entrada AR'!$E$8:$E$43,'Reliquidación AR'!$B26,'Entrada AR'!J$8:J$43)</f>
        <v>-15377182.991675191</v>
      </c>
      <c r="H26" s="43">
        <v>0</v>
      </c>
      <c r="I26" s="43">
        <f t="shared" si="2"/>
        <v>0</v>
      </c>
      <c r="J26" s="43">
        <v>0</v>
      </c>
      <c r="K26" s="43">
        <f t="shared" si="3"/>
        <v>0</v>
      </c>
      <c r="L26" s="43">
        <f>+'Reliquidación TD'!O26</f>
        <v>0</v>
      </c>
      <c r="M26" s="43">
        <f t="shared" si="0"/>
        <v>-15377182.991675191</v>
      </c>
      <c r="N26" s="43">
        <f t="shared" si="4"/>
        <v>15377182.991675191</v>
      </c>
      <c r="O26" s="43">
        <f t="shared" si="5"/>
        <v>0</v>
      </c>
      <c r="P26" s="43">
        <f t="shared" si="1"/>
        <v>15377182.991675191</v>
      </c>
      <c r="Q26" s="43">
        <f t="shared" si="6"/>
        <v>0</v>
      </c>
      <c r="R26" s="43">
        <v>0</v>
      </c>
      <c r="S26" s="43">
        <f t="shared" si="7"/>
        <v>0</v>
      </c>
    </row>
    <row r="27" spans="2:19" x14ac:dyDescent="0.2">
      <c r="B27" s="42" t="s">
        <v>34</v>
      </c>
      <c r="C27" s="43">
        <f>SUMIF('Entrada AR'!$E$8:$E$43,'Reliquidación AR'!$B27,'Entrada AR'!F$8:F$43)</f>
        <v>4644915</v>
      </c>
      <c r="D27" s="43">
        <f>SUMIF('Entrada AR'!$E$8:$E$43,'Reliquidación AR'!$B27,'Entrada AR'!G$8:G$43)</f>
        <v>8092754</v>
      </c>
      <c r="E27" s="43">
        <f>SUMIF('Entrada AR'!$E$8:$E$43,'Reliquidación AR'!$B27,'Entrada AR'!H$8:H$43)</f>
        <v>413737</v>
      </c>
      <c r="F27" s="43">
        <f>SUMIF('Entrada AR'!$E$8:$E$43,'Reliquidación AR'!$B27,'Entrada AR'!I$8:I$43)</f>
        <v>95593</v>
      </c>
      <c r="G27" s="43">
        <f>SUMIF('Entrada AR'!$E$8:$E$43,'Reliquidación AR'!$B27,'Entrada AR'!J$8:J$43)</f>
        <v>956717.76296210685</v>
      </c>
      <c r="H27" s="43">
        <v>2443409.5852975063</v>
      </c>
      <c r="I27" s="43">
        <f t="shared" si="2"/>
        <v>2455722.3995571248</v>
      </c>
      <c r="J27" s="43">
        <v>0</v>
      </c>
      <c r="K27" s="43">
        <f t="shared" si="3"/>
        <v>0</v>
      </c>
      <c r="L27" s="43">
        <f>+'Reliquidación TD'!O27</f>
        <v>0</v>
      </c>
      <c r="M27" s="43">
        <f t="shared" si="0"/>
        <v>3412440.1625192314</v>
      </c>
      <c r="N27" s="43">
        <f t="shared" si="4"/>
        <v>0</v>
      </c>
      <c r="O27" s="43">
        <f t="shared" si="5"/>
        <v>3412440.1625192314</v>
      </c>
      <c r="P27" s="43">
        <f t="shared" si="1"/>
        <v>-1292193.1791978185</v>
      </c>
      <c r="Q27" s="43">
        <f t="shared" si="6"/>
        <v>2120246.9833214129</v>
      </c>
      <c r="R27" s="43">
        <v>0</v>
      </c>
      <c r="S27" s="43">
        <f t="shared" si="7"/>
        <v>2120246.9833214129</v>
      </c>
    </row>
    <row r="28" spans="2:19" x14ac:dyDescent="0.2">
      <c r="B28" s="42" t="s">
        <v>35</v>
      </c>
      <c r="C28" s="43">
        <f>SUMIF('Entrada AR'!$E$8:$E$43,'Reliquidación AR'!$B28,'Entrada AR'!F$8:F$43)</f>
        <v>23228606.84</v>
      </c>
      <c r="D28" s="43">
        <f>SUMIF('Entrada AR'!$E$8:$E$43,'Reliquidación AR'!$B28,'Entrada AR'!G$8:G$43)</f>
        <v>58052228.479999997</v>
      </c>
      <c r="E28" s="43">
        <f>SUMIF('Entrada AR'!$E$8:$E$43,'Reliquidación AR'!$B28,'Entrada AR'!H$8:H$43)</f>
        <v>344292.01699999999</v>
      </c>
      <c r="F28" s="43">
        <f>SUMIF('Entrada AR'!$E$8:$E$43,'Reliquidación AR'!$B28,'Entrada AR'!I$8:I$43)</f>
        <v>182052.5</v>
      </c>
      <c r="G28" s="43">
        <f>SUMIF('Entrada AR'!$E$8:$E$43,'Reliquidación AR'!$B28,'Entrada AR'!J$8:J$43)</f>
        <v>7213054.6789037082</v>
      </c>
      <c r="H28" s="43">
        <v>21547916.266554002</v>
      </c>
      <c r="I28" s="43">
        <f t="shared" si="2"/>
        <v>21656500.391077515</v>
      </c>
      <c r="J28" s="43">
        <v>0</v>
      </c>
      <c r="K28" s="43">
        <f t="shared" si="3"/>
        <v>0</v>
      </c>
      <c r="L28" s="43">
        <f>+'Reliquidación TD'!O28</f>
        <v>-36.910560727716309</v>
      </c>
      <c r="M28" s="43">
        <f t="shared" si="0"/>
        <v>28869555.069981225</v>
      </c>
      <c r="N28" s="43">
        <f t="shared" si="4"/>
        <v>0</v>
      </c>
      <c r="O28" s="43">
        <f t="shared" si="5"/>
        <v>28869555.069981225</v>
      </c>
      <c r="P28" s="43">
        <f t="shared" si="1"/>
        <v>-10932072.174524261</v>
      </c>
      <c r="Q28" s="43">
        <f t="shared" si="6"/>
        <v>17937482.895456962</v>
      </c>
      <c r="R28" s="43">
        <v>0</v>
      </c>
      <c r="S28" s="43">
        <f t="shared" si="7"/>
        <v>17937482.895456962</v>
      </c>
    </row>
    <row r="29" spans="2:19" x14ac:dyDescent="0.2">
      <c r="B29" s="42" t="s">
        <v>36</v>
      </c>
      <c r="C29" s="43">
        <f>SUMIF('Entrada AR'!$E$8:$E$43,'Reliquidación AR'!$B29,'Entrada AR'!F$8:F$43)</f>
        <v>10434754.33</v>
      </c>
      <c r="D29" s="43">
        <f>SUMIF('Entrada AR'!$E$8:$E$43,'Reliquidación AR'!$B29,'Entrada AR'!G$8:G$43)</f>
        <v>4082568.36</v>
      </c>
      <c r="E29" s="43">
        <f>SUMIF('Entrada AR'!$E$8:$E$43,'Reliquidación AR'!$B29,'Entrada AR'!H$8:H$43)</f>
        <v>204604.52</v>
      </c>
      <c r="F29" s="43">
        <f>SUMIF('Entrada AR'!$E$8:$E$43,'Reliquidación AR'!$B29,'Entrada AR'!I$8:I$43)</f>
        <v>19249</v>
      </c>
      <c r="G29" s="43">
        <f>SUMIF('Entrada AR'!$E$8:$E$43,'Reliquidación AR'!$B29,'Entrada AR'!J$8:J$43)</f>
        <v>1546112.9425649079</v>
      </c>
      <c r="H29" s="43">
        <v>5482403.4320429359</v>
      </c>
      <c r="I29" s="43">
        <f t="shared" si="2"/>
        <v>5510030.3250375539</v>
      </c>
      <c r="J29" s="43">
        <v>0</v>
      </c>
      <c r="K29" s="43">
        <f t="shared" si="3"/>
        <v>0</v>
      </c>
      <c r="L29" s="43">
        <f>+'Reliquidación TD'!O29</f>
        <v>-0.50633135653737937</v>
      </c>
      <c r="M29" s="43">
        <f t="shared" si="0"/>
        <v>7056143.2676024623</v>
      </c>
      <c r="N29" s="43">
        <f t="shared" si="4"/>
        <v>0</v>
      </c>
      <c r="O29" s="43">
        <f t="shared" si="5"/>
        <v>7056143.2676024623</v>
      </c>
      <c r="P29" s="43">
        <f t="shared" si="1"/>
        <v>-2671958.9993065917</v>
      </c>
      <c r="Q29" s="43">
        <f t="shared" si="6"/>
        <v>4384184.2682958711</v>
      </c>
      <c r="R29" s="43">
        <v>0</v>
      </c>
      <c r="S29" s="43">
        <f t="shared" si="7"/>
        <v>4384184.2682958711</v>
      </c>
    </row>
    <row r="30" spans="2:19" x14ac:dyDescent="0.2">
      <c r="B30" s="42" t="s">
        <v>37</v>
      </c>
      <c r="C30" s="43">
        <f>SUMIF('Entrada AR'!$E$8:$E$43,'Reliquidación AR'!$B30,'Entrada AR'!F$8:F$43)</f>
        <v>40664118.969999999</v>
      </c>
      <c r="D30" s="43">
        <f>SUMIF('Entrada AR'!$E$8:$E$43,'Reliquidación AR'!$B30,'Entrada AR'!G$8:G$43)</f>
        <v>90559490.280000001</v>
      </c>
      <c r="E30" s="43">
        <f>SUMIF('Entrada AR'!$E$8:$E$43,'Reliquidación AR'!$B30,'Entrada AR'!H$8:H$43)</f>
        <v>240297.55</v>
      </c>
      <c r="F30" s="43">
        <f>SUMIF('Entrada AR'!$E$8:$E$43,'Reliquidación AR'!$B30,'Entrada AR'!I$8:I$43)</f>
        <v>211339.80799999999</v>
      </c>
      <c r="G30" s="43">
        <f>SUMIF('Entrada AR'!$E$8:$E$43,'Reliquidación AR'!$B30,'Entrada AR'!J$8:J$43)</f>
        <v>9704782.2539425977</v>
      </c>
      <c r="H30" s="43">
        <v>32977036.998787161</v>
      </c>
      <c r="I30" s="43">
        <f t="shared" si="2"/>
        <v>33143214.676832568</v>
      </c>
      <c r="J30" s="43">
        <v>0</v>
      </c>
      <c r="K30" s="43">
        <f t="shared" si="3"/>
        <v>0</v>
      </c>
      <c r="L30" s="43">
        <f>+'Reliquidación TD'!O30</f>
        <v>0</v>
      </c>
      <c r="M30" s="43">
        <f t="shared" si="0"/>
        <v>42847996.930775166</v>
      </c>
      <c r="N30" s="43">
        <f t="shared" si="4"/>
        <v>0</v>
      </c>
      <c r="O30" s="43">
        <f t="shared" si="5"/>
        <v>42847996.930775166</v>
      </c>
      <c r="P30" s="43">
        <f t="shared" si="1"/>
        <v>-16225307.035233527</v>
      </c>
      <c r="Q30" s="43">
        <f t="shared" si="6"/>
        <v>26622689.895541638</v>
      </c>
      <c r="R30" s="43">
        <v>0</v>
      </c>
      <c r="S30" s="43">
        <f t="shared" si="7"/>
        <v>26622689.895541638</v>
      </c>
    </row>
    <row r="31" spans="2:19" x14ac:dyDescent="0.2">
      <c r="B31" s="42" t="s">
        <v>38</v>
      </c>
      <c r="C31" s="43">
        <f>SUMIF('Entrada AR'!$E$8:$E$43,'Reliquidación AR'!$B31,'Entrada AR'!F$8:F$43)</f>
        <v>2219270</v>
      </c>
      <c r="D31" s="43">
        <f>SUMIF('Entrada AR'!$E$8:$E$43,'Reliquidación AR'!$B31,'Entrada AR'!G$8:G$43)</f>
        <v>2867470</v>
      </c>
      <c r="E31" s="43">
        <f>SUMIF('Entrada AR'!$E$8:$E$43,'Reliquidación AR'!$B31,'Entrada AR'!H$8:H$43)</f>
        <v>37197</v>
      </c>
      <c r="F31" s="43">
        <f>SUMIF('Entrada AR'!$E$8:$E$43,'Reliquidación AR'!$B31,'Entrada AR'!I$8:I$43)</f>
        <v>19109</v>
      </c>
      <c r="G31" s="43">
        <f>SUMIF('Entrada AR'!$E$8:$E$43,'Reliquidación AR'!$B31,'Entrada AR'!J$8:J$43)</f>
        <v>391094.21267100278</v>
      </c>
      <c r="H31" s="43">
        <v>2102813.3944218322</v>
      </c>
      <c r="I31" s="43">
        <f t="shared" si="2"/>
        <v>2113409.8784922673</v>
      </c>
      <c r="J31" s="43">
        <v>0</v>
      </c>
      <c r="K31" s="43">
        <f t="shared" si="3"/>
        <v>0</v>
      </c>
      <c r="L31" s="43">
        <f>+'Reliquidación TD'!O31</f>
        <v>0</v>
      </c>
      <c r="M31" s="43">
        <f t="shared" si="0"/>
        <v>2504504.0911632702</v>
      </c>
      <c r="N31" s="43">
        <f t="shared" si="4"/>
        <v>0</v>
      </c>
      <c r="O31" s="43">
        <f t="shared" si="5"/>
        <v>2504504.0911632702</v>
      </c>
      <c r="P31" s="43">
        <f t="shared" si="1"/>
        <v>-948383.83964072517</v>
      </c>
      <c r="Q31" s="43">
        <f t="shared" si="6"/>
        <v>1556120.251522545</v>
      </c>
      <c r="R31" s="43">
        <v>0</v>
      </c>
      <c r="S31" s="43">
        <f t="shared" si="7"/>
        <v>1556120.251522545</v>
      </c>
    </row>
    <row r="32" spans="2:19" x14ac:dyDescent="0.2">
      <c r="B32" s="42" t="s">
        <v>39</v>
      </c>
      <c r="C32" s="43">
        <f>SUMIF('Entrada AR'!$E$8:$E$43,'Reliquidación AR'!$B32,'Entrada AR'!F$8:F$43)</f>
        <v>43366931.2927</v>
      </c>
      <c r="D32" s="43">
        <f>SUMIF('Entrada AR'!$E$8:$E$43,'Reliquidación AR'!$B32,'Entrada AR'!G$8:G$43)</f>
        <v>118633381.88410001</v>
      </c>
      <c r="E32" s="43">
        <f>SUMIF('Entrada AR'!$E$8:$E$43,'Reliquidación AR'!$B32,'Entrada AR'!H$8:H$43)</f>
        <v>2154770.7999999998</v>
      </c>
      <c r="F32" s="43">
        <f>SUMIF('Entrada AR'!$E$8:$E$43,'Reliquidación AR'!$B32,'Entrada AR'!I$8:I$43)</f>
        <v>739940.58109999995</v>
      </c>
      <c r="G32" s="43">
        <f>SUMIF('Entrada AR'!$E$8:$E$43,'Reliquidación AR'!$B32,'Entrada AR'!J$8:J$43)</f>
        <v>13586132.142554721</v>
      </c>
      <c r="H32" s="43">
        <v>33807063.114387207</v>
      </c>
      <c r="I32" s="43">
        <f t="shared" si="2"/>
        <v>33977423.454829253</v>
      </c>
      <c r="J32" s="43">
        <v>0</v>
      </c>
      <c r="K32" s="43">
        <f t="shared" si="3"/>
        <v>0</v>
      </c>
      <c r="L32" s="43">
        <f>+'Reliquidación TD'!O32</f>
        <v>-9.5977130169338984</v>
      </c>
      <c r="M32" s="43">
        <f t="shared" si="0"/>
        <v>47563555.597383976</v>
      </c>
      <c r="N32" s="43">
        <f t="shared" si="4"/>
        <v>0</v>
      </c>
      <c r="O32" s="43">
        <f t="shared" si="5"/>
        <v>47563555.597383976</v>
      </c>
      <c r="P32" s="43">
        <f t="shared" si="1"/>
        <v>-18010953.802619074</v>
      </c>
      <c r="Q32" s="43">
        <f t="shared" si="6"/>
        <v>29552601.794764902</v>
      </c>
      <c r="R32" s="43">
        <v>0</v>
      </c>
      <c r="S32" s="43">
        <f t="shared" si="7"/>
        <v>29552601.794764902</v>
      </c>
    </row>
    <row r="33" spans="2:19" x14ac:dyDescent="0.2">
      <c r="B33" s="42" t="s">
        <v>40</v>
      </c>
      <c r="C33" s="43">
        <f>SUMIF('Entrada AR'!$E$8:$E$43,'Reliquidación AR'!$B33,'Entrada AR'!F$8:F$43)</f>
        <v>1599904</v>
      </c>
      <c r="D33" s="43">
        <f>SUMIF('Entrada AR'!$E$8:$E$43,'Reliquidación AR'!$B33,'Entrada AR'!G$8:G$43)</f>
        <v>2793061.7</v>
      </c>
      <c r="E33" s="43">
        <f>SUMIF('Entrada AR'!$E$8:$E$43,'Reliquidación AR'!$B33,'Entrada AR'!H$8:H$43)</f>
        <v>40216</v>
      </c>
      <c r="F33" s="43">
        <f>SUMIF('Entrada AR'!$E$8:$E$43,'Reliquidación AR'!$B33,'Entrada AR'!I$8:I$43)</f>
        <v>90763</v>
      </c>
      <c r="G33" s="43">
        <f>SUMIF('Entrada AR'!$E$8:$E$43,'Reliquidación AR'!$B33,'Entrada AR'!J$8:J$43)</f>
        <v>342746.2793799878</v>
      </c>
      <c r="H33" s="43">
        <v>671529.39292933152</v>
      </c>
      <c r="I33" s="43">
        <f t="shared" si="2"/>
        <v>674913.35963502259</v>
      </c>
      <c r="J33" s="43">
        <v>0</v>
      </c>
      <c r="K33" s="43">
        <f t="shared" si="3"/>
        <v>0</v>
      </c>
      <c r="L33" s="43">
        <f>+'Reliquidación TD'!O33</f>
        <v>0</v>
      </c>
      <c r="M33" s="43">
        <f t="shared" si="0"/>
        <v>1017659.6390150103</v>
      </c>
      <c r="N33" s="43">
        <f t="shared" si="4"/>
        <v>0</v>
      </c>
      <c r="O33" s="43">
        <f t="shared" si="5"/>
        <v>1017659.6390150103</v>
      </c>
      <c r="P33" s="43">
        <f t="shared" si="1"/>
        <v>-385358.50642119488</v>
      </c>
      <c r="Q33" s="43">
        <f t="shared" si="6"/>
        <v>632301.13259381545</v>
      </c>
      <c r="R33" s="43">
        <v>0</v>
      </c>
      <c r="S33" s="43">
        <f t="shared" si="7"/>
        <v>632301.13259381545</v>
      </c>
    </row>
    <row r="34" spans="2:19" x14ac:dyDescent="0.2">
      <c r="B34" s="42" t="s">
        <v>41</v>
      </c>
      <c r="C34" s="43">
        <f>SUMIF('Entrada AR'!$E$8:$E$43,'Reliquidación AR'!$B34,'Entrada AR'!F$8:F$43)</f>
        <v>1328047.5</v>
      </c>
      <c r="D34" s="43">
        <f>SUMIF('Entrada AR'!$E$8:$E$43,'Reliquidación AR'!$B34,'Entrada AR'!G$8:G$43)</f>
        <v>9654550.4544999991</v>
      </c>
      <c r="E34" s="43">
        <f>SUMIF('Entrada AR'!$E$8:$E$43,'Reliquidación AR'!$B34,'Entrada AR'!H$8:H$43)</f>
        <v>4520</v>
      </c>
      <c r="F34" s="43">
        <f>SUMIF('Entrada AR'!$E$8:$E$43,'Reliquidación AR'!$B34,'Entrada AR'!I$8:I$43)</f>
        <v>40135.199999999997</v>
      </c>
      <c r="G34" s="43">
        <f>SUMIF('Entrada AR'!$E$8:$E$43,'Reliquidación AR'!$B34,'Entrada AR'!J$8:J$43)</f>
        <v>889181.8492457231</v>
      </c>
      <c r="H34" s="43">
        <v>1866536.7660815408</v>
      </c>
      <c r="I34" s="43">
        <f t="shared" si="2"/>
        <v>1875942.6064481335</v>
      </c>
      <c r="J34" s="43">
        <v>0</v>
      </c>
      <c r="K34" s="43">
        <f t="shared" si="3"/>
        <v>0</v>
      </c>
      <c r="L34" s="43">
        <f>+'Reliquidación TD'!O34</f>
        <v>43.653180401571433</v>
      </c>
      <c r="M34" s="43">
        <f t="shared" si="0"/>
        <v>2765124.4556938568</v>
      </c>
      <c r="N34" s="43">
        <f t="shared" si="4"/>
        <v>0</v>
      </c>
      <c r="O34" s="43">
        <f t="shared" si="5"/>
        <v>2765124.4556938568</v>
      </c>
      <c r="P34" s="43">
        <f t="shared" si="1"/>
        <v>-1047073.2939219839</v>
      </c>
      <c r="Q34" s="43">
        <f t="shared" si="6"/>
        <v>1718051.161771873</v>
      </c>
      <c r="R34" s="43">
        <v>0</v>
      </c>
      <c r="S34" s="43">
        <f t="shared" si="7"/>
        <v>1718051.161771873</v>
      </c>
    </row>
    <row r="35" spans="2:19" x14ac:dyDescent="0.2">
      <c r="B35" s="42" t="s">
        <v>42</v>
      </c>
      <c r="C35" s="43">
        <f>SUMIF('Entrada AR'!$E$8:$E$43,'Reliquidación AR'!$B35,'Entrada AR'!F$8:F$43)</f>
        <v>5920564.7000000002</v>
      </c>
      <c r="D35" s="43">
        <f>SUMIF('Entrada AR'!$E$8:$E$43,'Reliquidación AR'!$B35,'Entrada AR'!G$8:G$43)</f>
        <v>6370444.5549999997</v>
      </c>
      <c r="E35" s="43">
        <f>SUMIF('Entrada AR'!$E$8:$E$43,'Reliquidación AR'!$B35,'Entrada AR'!H$8:H$43)</f>
        <v>251144</v>
      </c>
      <c r="F35" s="43">
        <f>SUMIF('Entrada AR'!$E$8:$E$43,'Reliquidación AR'!$B35,'Entrada AR'!I$8:I$43)</f>
        <v>28672.674900000002</v>
      </c>
      <c r="G35" s="43">
        <f>SUMIF('Entrada AR'!$E$8:$E$43,'Reliquidación AR'!$B35,'Entrada AR'!J$8:J$43)</f>
        <v>1255346.5671068041</v>
      </c>
      <c r="H35" s="43">
        <v>2240910.2209555209</v>
      </c>
      <c r="I35" s="43">
        <f t="shared" si="2"/>
        <v>2252202.6016882197</v>
      </c>
      <c r="J35" s="43">
        <v>0</v>
      </c>
      <c r="K35" s="43">
        <f t="shared" si="3"/>
        <v>0</v>
      </c>
      <c r="L35" s="43">
        <f>+'Reliquidación TD'!O35</f>
        <v>17039.012103839312</v>
      </c>
      <c r="M35" s="43">
        <f t="shared" si="0"/>
        <v>3507549.168795024</v>
      </c>
      <c r="N35" s="43">
        <f t="shared" si="4"/>
        <v>0</v>
      </c>
      <c r="O35" s="43">
        <f t="shared" si="5"/>
        <v>3507549.168795024</v>
      </c>
      <c r="P35" s="43">
        <f t="shared" si="1"/>
        <v>-1328208.2309897102</v>
      </c>
      <c r="Q35" s="43">
        <f t="shared" si="6"/>
        <v>2179340.9378053136</v>
      </c>
      <c r="R35" s="43">
        <v>0</v>
      </c>
      <c r="S35" s="43">
        <f t="shared" si="7"/>
        <v>2179340.9378053136</v>
      </c>
    </row>
    <row r="36" spans="2:19" x14ac:dyDescent="0.2">
      <c r="B36" s="42" t="s">
        <v>43</v>
      </c>
      <c r="C36" s="43">
        <f>SUMIF('Entrada AR'!$E$8:$E$43,'Reliquidación AR'!$B36,'Entrada AR'!F$8:F$43)</f>
        <v>11293541.5</v>
      </c>
      <c r="D36" s="43">
        <f>SUMIF('Entrada AR'!$E$8:$E$43,'Reliquidación AR'!$B36,'Entrada AR'!G$8:G$43)</f>
        <v>5362850.2964000003</v>
      </c>
      <c r="E36" s="43">
        <f>SUMIF('Entrada AR'!$E$8:$E$43,'Reliquidación AR'!$B36,'Entrada AR'!H$8:H$43)</f>
        <v>339324</v>
      </c>
      <c r="F36" s="43">
        <f>SUMIF('Entrada AR'!$E$8:$E$43,'Reliquidación AR'!$B36,'Entrada AR'!I$8:I$43)</f>
        <v>77313.899999999994</v>
      </c>
      <c r="G36" s="43">
        <f>SUMIF('Entrada AR'!$E$8:$E$43,'Reliquidación AR'!$B36,'Entrada AR'!J$8:J$43)</f>
        <v>2818059.4739363231</v>
      </c>
      <c r="H36" s="43">
        <v>1971568.1631172539</v>
      </c>
      <c r="I36" s="43">
        <f t="shared" si="2"/>
        <v>1981503.2770411375</v>
      </c>
      <c r="J36" s="43">
        <v>0</v>
      </c>
      <c r="K36" s="43">
        <f t="shared" si="3"/>
        <v>0</v>
      </c>
      <c r="L36" s="43">
        <f>+'Reliquidación TD'!O36</f>
        <v>-65.958435811919784</v>
      </c>
      <c r="M36" s="43">
        <f t="shared" si="0"/>
        <v>4799562.7509774603</v>
      </c>
      <c r="N36" s="43">
        <f t="shared" si="4"/>
        <v>0</v>
      </c>
      <c r="O36" s="43">
        <f t="shared" si="5"/>
        <v>4799562.7509774603</v>
      </c>
      <c r="P36" s="43">
        <f t="shared" si="1"/>
        <v>-1817456.7038756213</v>
      </c>
      <c r="Q36" s="43">
        <f t="shared" si="6"/>
        <v>2982106.047101839</v>
      </c>
      <c r="R36" s="43">
        <v>0</v>
      </c>
      <c r="S36" s="43">
        <f t="shared" si="7"/>
        <v>2982106.047101839</v>
      </c>
    </row>
    <row r="37" spans="2:19" x14ac:dyDescent="0.2">
      <c r="B37" s="42" t="s">
        <v>45</v>
      </c>
      <c r="C37" s="43">
        <f>SUMIF('Entrada AR'!$E$8:$E$43,'Reliquidación AR'!$B37,'Entrada AR'!F$8:F$43)</f>
        <v>435933.99999999988</v>
      </c>
      <c r="D37" s="43">
        <f>SUMIF('Entrada AR'!$E$8:$E$43,'Reliquidación AR'!$B37,'Entrada AR'!G$8:G$43)</f>
        <v>919290</v>
      </c>
      <c r="E37" s="43">
        <f>SUMIF('Entrada AR'!$E$8:$E$43,'Reliquidación AR'!$B37,'Entrada AR'!H$8:H$43)</f>
        <v>43245</v>
      </c>
      <c r="F37" s="43">
        <f>SUMIF('Entrada AR'!$E$8:$E$43,'Reliquidación AR'!$B37,'Entrada AR'!I$8:I$43)</f>
        <v>12427</v>
      </c>
      <c r="G37" s="43">
        <f>SUMIF('Entrada AR'!$E$8:$E$43,'Reliquidación AR'!$B37,'Entrada AR'!J$8:J$43)</f>
        <v>107176.09570784921</v>
      </c>
      <c r="H37" s="43">
        <v>320574.44428036368</v>
      </c>
      <c r="I37" s="43">
        <f t="shared" si="2"/>
        <v>322189.88100966008</v>
      </c>
      <c r="J37" s="43">
        <v>0</v>
      </c>
      <c r="K37" s="43">
        <f t="shared" si="3"/>
        <v>0</v>
      </c>
      <c r="L37" s="43">
        <f>+'Reliquidación TD'!O37</f>
        <v>0</v>
      </c>
      <c r="M37" s="43">
        <f t="shared" si="0"/>
        <v>429365.97671750927</v>
      </c>
      <c r="N37" s="43">
        <f t="shared" si="4"/>
        <v>0</v>
      </c>
      <c r="O37" s="43">
        <f t="shared" si="5"/>
        <v>429365.97671750927</v>
      </c>
      <c r="P37" s="43">
        <f t="shared" si="1"/>
        <v>-162588.57593692618</v>
      </c>
      <c r="Q37" s="43">
        <f t="shared" si="6"/>
        <v>266777.40078058309</v>
      </c>
      <c r="R37" s="43">
        <v>0</v>
      </c>
      <c r="S37" s="43">
        <f t="shared" si="7"/>
        <v>266777.40078058309</v>
      </c>
    </row>
    <row r="38" spans="2:19" x14ac:dyDescent="0.2">
      <c r="B38" s="42" t="s">
        <v>46</v>
      </c>
      <c r="C38" s="43">
        <f>SUMIF('Entrada AR'!$E$8:$E$43,'Reliquidación AR'!$B38,'Entrada AR'!F$8:F$43)</f>
        <v>4512098.3830000004</v>
      </c>
      <c r="D38" s="43">
        <f>SUMIF('Entrada AR'!$E$8:$E$43,'Reliquidación AR'!$B38,'Entrada AR'!G$8:G$43)</f>
        <v>17811131.941</v>
      </c>
      <c r="E38" s="43">
        <f>SUMIF('Entrada AR'!$E$8:$E$43,'Reliquidación AR'!$B38,'Entrada AR'!H$8:H$43)</f>
        <v>13458</v>
      </c>
      <c r="F38" s="43">
        <f>SUMIF('Entrada AR'!$E$8:$E$43,'Reliquidación AR'!$B38,'Entrada AR'!I$8:I$43)</f>
        <v>42244.014000000003</v>
      </c>
      <c r="G38" s="43">
        <f>SUMIF('Entrada AR'!$E$8:$E$43,'Reliquidación AR'!$B38,'Entrada AR'!J$8:J$43)</f>
        <v>1762116.569537505</v>
      </c>
      <c r="H38" s="43">
        <v>3600294.4737373781</v>
      </c>
      <c r="I38" s="43">
        <f t="shared" si="2"/>
        <v>3618437.0550720016</v>
      </c>
      <c r="J38" s="43">
        <v>0</v>
      </c>
      <c r="K38" s="43">
        <f t="shared" si="3"/>
        <v>0</v>
      </c>
      <c r="L38" s="43">
        <f>+'Reliquidación TD'!O38</f>
        <v>35.206229209782883</v>
      </c>
      <c r="M38" s="43">
        <f t="shared" si="0"/>
        <v>5380553.6246095067</v>
      </c>
      <c r="N38" s="43">
        <f>IF(M38&lt;0,-M38,0)</f>
        <v>0</v>
      </c>
      <c r="O38" s="43">
        <f>IF(M38&gt;0,M38,0)</f>
        <v>5380553.6246095067</v>
      </c>
      <c r="P38" s="43">
        <f t="shared" si="1"/>
        <v>-2037461.2778252112</v>
      </c>
      <c r="Q38" s="43">
        <f t="shared" si="6"/>
        <v>3343092.3467842955</v>
      </c>
      <c r="R38" s="43">
        <v>0</v>
      </c>
      <c r="S38" s="43">
        <f t="shared" si="7"/>
        <v>3343092.3467842955</v>
      </c>
    </row>
    <row r="39" spans="2:19" x14ac:dyDescent="0.2">
      <c r="B39" s="42" t="s">
        <v>47</v>
      </c>
      <c r="C39" s="43">
        <f>SUMIF('Entrada AR'!$E$8:$E$43,'Reliquidación AR'!$B39,'Entrada AR'!F$8:F$43)</f>
        <v>6283946.3530000001</v>
      </c>
      <c r="D39" s="43">
        <f>SUMIF('Entrada AR'!$E$8:$E$43,'Reliquidación AR'!$B39,'Entrada AR'!G$8:G$43)</f>
        <v>27286382.329</v>
      </c>
      <c r="E39" s="43">
        <f>SUMIF('Entrada AR'!$E$8:$E$43,'Reliquidación AR'!$B39,'Entrada AR'!H$8:H$43)</f>
        <v>12570.960999999999</v>
      </c>
      <c r="F39" s="43">
        <f>SUMIF('Entrada AR'!$E$8:$E$43,'Reliquidación AR'!$B39,'Entrada AR'!I$8:I$43)</f>
        <v>20482.008000000002</v>
      </c>
      <c r="G39" s="43">
        <f>SUMIF('Entrada AR'!$E$8:$E$43,'Reliquidación AR'!$B39,'Entrada AR'!J$8:J$43)</f>
        <v>3016698.8873669631</v>
      </c>
      <c r="H39" s="43">
        <v>5784724.2011338547</v>
      </c>
      <c r="I39" s="43">
        <f t="shared" si="2"/>
        <v>5813874.5470522232</v>
      </c>
      <c r="J39" s="43">
        <v>0</v>
      </c>
      <c r="K39" s="43">
        <f t="shared" si="3"/>
        <v>0</v>
      </c>
      <c r="L39" s="43">
        <f>+'Reliquidación TD'!O39</f>
        <v>-127.63889435646054</v>
      </c>
      <c r="M39" s="43">
        <f t="shared" si="0"/>
        <v>8830573.4344191868</v>
      </c>
      <c r="N39" s="43">
        <f t="shared" si="4"/>
        <v>0</v>
      </c>
      <c r="O39" s="43">
        <f t="shared" si="5"/>
        <v>8830573.4344191868</v>
      </c>
      <c r="P39" s="43">
        <f t="shared" si="1"/>
        <v>-3343884.7912099091</v>
      </c>
      <c r="Q39" s="43">
        <f t="shared" si="6"/>
        <v>5486688.6432092777</v>
      </c>
      <c r="R39" s="43">
        <v>0</v>
      </c>
      <c r="S39" s="43">
        <f t="shared" si="7"/>
        <v>5486688.6432092777</v>
      </c>
    </row>
    <row r="40" spans="2:19" x14ac:dyDescent="0.2">
      <c r="B40" s="42" t="s">
        <v>48</v>
      </c>
      <c r="C40" s="43">
        <f>SUMIF('Entrada AR'!$E$8:$E$43,'Reliquidación AR'!$B40,'Entrada AR'!F$8:F$43)</f>
        <v>14651117.562000001</v>
      </c>
      <c r="D40" s="43">
        <f>SUMIF('Entrada AR'!$E$8:$E$43,'Reliquidación AR'!$B40,'Entrada AR'!G$8:G$43)</f>
        <v>47142862.340291329</v>
      </c>
      <c r="E40" s="43">
        <f>SUMIF('Entrada AR'!$E$8:$E$43,'Reliquidación AR'!$B40,'Entrada AR'!H$8:H$43)</f>
        <v>45278.1</v>
      </c>
      <c r="F40" s="43">
        <f>SUMIF('Entrada AR'!$E$8:$E$43,'Reliquidación AR'!$B40,'Entrada AR'!I$8:I$43)</f>
        <v>62467.421000000002</v>
      </c>
      <c r="G40" s="43">
        <f>SUMIF('Entrada AR'!$E$8:$E$43,'Reliquidación AR'!$B40,'Entrada AR'!J$8:J$43)</f>
        <v>6658323.5515546454</v>
      </c>
      <c r="H40" s="43">
        <v>10909591.026802225</v>
      </c>
      <c r="I40" s="43">
        <f t="shared" si="2"/>
        <v>10964566.569490479</v>
      </c>
      <c r="J40" s="43">
        <v>0</v>
      </c>
      <c r="K40" s="43">
        <f t="shared" si="3"/>
        <v>0</v>
      </c>
      <c r="L40" s="43">
        <f>+'Reliquidación TD'!O40</f>
        <v>77531.08117266692</v>
      </c>
      <c r="M40" s="43">
        <f t="shared" si="0"/>
        <v>17622890.121045124</v>
      </c>
      <c r="N40" s="43">
        <f t="shared" si="4"/>
        <v>0</v>
      </c>
      <c r="O40" s="43">
        <f t="shared" si="5"/>
        <v>17622890.121045124</v>
      </c>
      <c r="P40" s="43">
        <f t="shared" si="1"/>
        <v>-6673282.8497000169</v>
      </c>
      <c r="Q40" s="43">
        <f t="shared" si="6"/>
        <v>10949607.271345107</v>
      </c>
      <c r="R40" s="43">
        <v>0</v>
      </c>
      <c r="S40" s="43">
        <f t="shared" si="7"/>
        <v>10949607.271345107</v>
      </c>
    </row>
    <row r="41" spans="2:19" x14ac:dyDescent="0.2">
      <c r="B41" s="42" t="s">
        <v>49</v>
      </c>
      <c r="C41" s="43">
        <f>SUMIF('Entrada AR'!$E$8:$E$43,'Reliquidación AR'!$B41,'Entrada AR'!F$8:F$43)</f>
        <v>0</v>
      </c>
      <c r="D41" s="43">
        <f>SUMIF('Entrada AR'!$E$8:$E$43,'Reliquidación AR'!$B41,'Entrada AR'!G$8:G$43)</f>
        <v>0</v>
      </c>
      <c r="E41" s="43">
        <f>SUMIF('Entrada AR'!$E$8:$E$43,'Reliquidación AR'!$B41,'Entrada AR'!H$8:H$43)</f>
        <v>0</v>
      </c>
      <c r="F41" s="43">
        <f>SUMIF('Entrada AR'!$E$8:$E$43,'Reliquidación AR'!$B41,'Entrada AR'!I$8:I$43)</f>
        <v>0</v>
      </c>
      <c r="G41" s="43">
        <f>SUMIF('Entrada AR'!$E$8:$E$43,'Reliquidación AR'!$B41,'Entrada AR'!J$8:J$43)</f>
        <v>0</v>
      </c>
      <c r="H41" s="43">
        <v>0</v>
      </c>
      <c r="I41" s="43">
        <f>H41*($I$4+1)</f>
        <v>0</v>
      </c>
      <c r="J41" s="43">
        <v>0</v>
      </c>
      <c r="K41" s="43">
        <f t="shared" si="3"/>
        <v>0</v>
      </c>
      <c r="L41" s="43">
        <f>+'Reliquidación TD'!O41</f>
        <v>0</v>
      </c>
      <c r="M41" s="43">
        <f t="shared" si="0"/>
        <v>0</v>
      </c>
      <c r="N41" s="43">
        <f>IF(M41&lt;0,-M41,0)</f>
        <v>0</v>
      </c>
      <c r="O41" s="43">
        <f>IF(M41&gt;0,M41,0)</f>
        <v>0</v>
      </c>
      <c r="P41" s="43">
        <f t="shared" si="1"/>
        <v>0</v>
      </c>
      <c r="Q41" s="43">
        <f>M41+P41</f>
        <v>0</v>
      </c>
      <c r="R41" s="43">
        <v>0</v>
      </c>
      <c r="S41" s="43">
        <f t="shared" si="7"/>
        <v>0</v>
      </c>
    </row>
    <row r="42" spans="2:19" x14ac:dyDescent="0.2">
      <c r="B42" s="42" t="s">
        <v>50</v>
      </c>
      <c r="C42" s="43">
        <f>SUMIF('Entrada AR'!$E$8:$E$43,'Reliquidación AR'!$B42,'Entrada AR'!F$8:F$43)</f>
        <v>0</v>
      </c>
      <c r="D42" s="43">
        <f>SUMIF('Entrada AR'!$E$8:$E$43,'Reliquidación AR'!$B42,'Entrada AR'!G$8:G$43)</f>
        <v>11968</v>
      </c>
      <c r="E42" s="43">
        <f>SUMIF('Entrada AR'!$E$8:$E$43,'Reliquidación AR'!$B42,'Entrada AR'!H$8:H$43)</f>
        <v>0</v>
      </c>
      <c r="F42" s="43">
        <f>SUMIF('Entrada AR'!$E$8:$E$43,'Reliquidación AR'!$B42,'Entrada AR'!I$8:I$43)</f>
        <v>0</v>
      </c>
      <c r="G42" s="43">
        <f>SUMIF('Entrada AR'!$E$8:$E$43,'Reliquidación AR'!$B42,'Entrada AR'!J$8:J$43)</f>
        <v>989.94161727999995</v>
      </c>
      <c r="H42" s="43">
        <v>561.10991798629425</v>
      </c>
      <c r="I42" s="43">
        <f>H42*($I$4+1)</f>
        <v>563.93745956629243</v>
      </c>
      <c r="J42" s="43">
        <v>788.07977113382083</v>
      </c>
      <c r="K42" s="43">
        <f t="shared" si="3"/>
        <v>792.05105777447295</v>
      </c>
      <c r="L42" s="43">
        <f>+'Reliquidación TD'!O42</f>
        <v>0</v>
      </c>
      <c r="M42" s="43">
        <f t="shared" si="0"/>
        <v>2345.9301346207653</v>
      </c>
      <c r="N42" s="43">
        <f>IF(M42&lt;0,-M42,0)</f>
        <v>0</v>
      </c>
      <c r="O42" s="43">
        <f>IF(M42&gt;0,M42,0)</f>
        <v>2345.9301346207653</v>
      </c>
      <c r="P42" s="43">
        <f t="shared" si="1"/>
        <v>-888.3364321306218</v>
      </c>
      <c r="Q42" s="43">
        <f>M42+P42</f>
        <v>1457.5937024901436</v>
      </c>
      <c r="R42" s="43">
        <v>0</v>
      </c>
      <c r="S42" s="43">
        <f t="shared" si="7"/>
        <v>1457.5937024901436</v>
      </c>
    </row>
    <row r="43" spans="2:19" x14ac:dyDescent="0.2">
      <c r="B43" s="44" t="s">
        <v>51</v>
      </c>
      <c r="C43" s="45">
        <f>SUMIF('Entrada AR'!$E$8:$E$43,'Reliquidación AR'!$B43,'Entrada AR'!F$8:F$43)</f>
        <v>32785.800000000003</v>
      </c>
      <c r="D43" s="45">
        <f>SUMIF('Entrada AR'!$E$8:$E$43,'Reliquidación AR'!$B43,'Entrada AR'!G$8:G$43)</f>
        <v>63849.4</v>
      </c>
      <c r="E43" s="45">
        <f>SUMIF('Entrada AR'!$E$8:$E$43,'Reliquidación AR'!$B43,'Entrada AR'!H$8:H$43)</f>
        <v>0</v>
      </c>
      <c r="F43" s="45">
        <f>SUMIF('Entrada AR'!$E$8:$E$43,'Reliquidación AR'!$B43,'Entrada AR'!I$8:I$43)</f>
        <v>0</v>
      </c>
      <c r="G43" s="45">
        <f>SUMIF('Entrada AR'!$E$8:$E$43,'Reliquidación AR'!$B43,'Entrada AR'!J$8:J$43)</f>
        <v>7757.7998605843677</v>
      </c>
      <c r="H43" s="45">
        <v>4920.5199761579306</v>
      </c>
      <c r="I43" s="45">
        <f>H43*($I$4+1)</f>
        <v>4945.3154295652221</v>
      </c>
      <c r="J43" s="45">
        <v>0</v>
      </c>
      <c r="K43" s="45">
        <f t="shared" si="3"/>
        <v>0</v>
      </c>
      <c r="L43" s="45">
        <f>+'Reliquidación TD'!O43</f>
        <v>0</v>
      </c>
      <c r="M43" s="45">
        <f t="shared" si="0"/>
        <v>12703.11529014959</v>
      </c>
      <c r="N43" s="45">
        <f t="shared" si="4"/>
        <v>0</v>
      </c>
      <c r="O43" s="45">
        <f t="shared" si="5"/>
        <v>12703.11529014959</v>
      </c>
      <c r="P43" s="45">
        <f>IF(OR($N$44=0,$O$44=0),0,(N43/$N$44-O43/$O$44)*$O$49)</f>
        <v>-4810.3052803060855</v>
      </c>
      <c r="Q43" s="45">
        <f t="shared" si="6"/>
        <v>7892.8100098435043</v>
      </c>
      <c r="R43" s="45">
        <v>0</v>
      </c>
      <c r="S43" s="45">
        <f t="shared" si="7"/>
        <v>7892.8100098435043</v>
      </c>
    </row>
    <row r="44" spans="2:19" x14ac:dyDescent="0.2">
      <c r="B44" s="46" t="s">
        <v>66</v>
      </c>
      <c r="C44" s="16">
        <f t="shared" ref="C44:Q44" si="8">SUM(C9:C43)</f>
        <v>558796905.73070002</v>
      </c>
      <c r="D44" s="16">
        <f t="shared" si="8"/>
        <v>1537318590.6478362</v>
      </c>
      <c r="E44" s="16">
        <f t="shared" si="8"/>
        <v>11776268.979</v>
      </c>
      <c r="F44" s="16">
        <f t="shared" si="8"/>
        <v>5585086.0030000014</v>
      </c>
      <c r="G44" s="16">
        <f t="shared" si="8"/>
        <v>-2974444.4840140236</v>
      </c>
      <c r="H44" s="16">
        <f t="shared" si="8"/>
        <v>293505131.65780318</v>
      </c>
      <c r="I44" s="16">
        <f t="shared" si="8"/>
        <v>294984160.87668347</v>
      </c>
      <c r="J44" s="16">
        <f t="shared" si="8"/>
        <v>788.07977113382083</v>
      </c>
      <c r="K44" s="16">
        <f t="shared" si="8"/>
        <v>792.05105777447295</v>
      </c>
      <c r="L44" s="16">
        <f t="shared" si="8"/>
        <v>0</v>
      </c>
      <c r="M44" s="16">
        <f>SUM(M9:M43)</f>
        <v>292010508.44372731</v>
      </c>
      <c r="N44" s="16">
        <f t="shared" si="8"/>
        <v>177966996.40811163</v>
      </c>
      <c r="O44" s="16">
        <f>SUM(O9:O43)</f>
        <v>469977504.85183895</v>
      </c>
      <c r="P44" s="16">
        <f t="shared" si="8"/>
        <v>4.4019543565809727E-9</v>
      </c>
      <c r="Q44" s="16">
        <f t="shared" si="8"/>
        <v>292010508.44372725</v>
      </c>
      <c r="R44" s="16">
        <f t="shared" ref="R44:S44" si="9">SUM(R9:R43)</f>
        <v>0</v>
      </c>
      <c r="S44" s="16">
        <f t="shared" si="9"/>
        <v>292010508.44372725</v>
      </c>
    </row>
    <row r="45" spans="2:19" x14ac:dyDescent="0.2">
      <c r="B45" s="50"/>
      <c r="C45"/>
      <c r="D45"/>
      <c r="E45"/>
      <c r="F45"/>
      <c r="G45"/>
      <c r="H45"/>
      <c r="I45"/>
      <c r="J45"/>
      <c r="K45"/>
      <c r="L45"/>
      <c r="M45"/>
      <c r="N45" s="51"/>
      <c r="O45" s="51"/>
      <c r="P45"/>
    </row>
    <row r="46" spans="2:19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9" x14ac:dyDescent="0.2">
      <c r="B47"/>
      <c r="C47"/>
      <c r="H47" s="58"/>
      <c r="I47" s="17"/>
      <c r="J47" s="17"/>
      <c r="K47" s="17"/>
      <c r="L47" s="17"/>
      <c r="M47" s="17"/>
      <c r="N47" s="7" t="s">
        <v>75</v>
      </c>
      <c r="O47" s="53">
        <f>O44</f>
        <v>469977504.85183895</v>
      </c>
      <c r="P47"/>
    </row>
    <row r="48" spans="2:19" x14ac:dyDescent="0.2">
      <c r="B48"/>
      <c r="C48"/>
      <c r="H48" s="52"/>
      <c r="I48" s="17"/>
      <c r="J48" s="17"/>
      <c r="K48" s="17"/>
      <c r="L48" s="17"/>
      <c r="M48" s="17"/>
      <c r="N48" s="7" t="s">
        <v>76</v>
      </c>
      <c r="O48" s="53">
        <f>N44</f>
        <v>177966996.40811163</v>
      </c>
      <c r="P48"/>
      <c r="Q48" s="54"/>
    </row>
    <row r="49" spans="2:17" x14ac:dyDescent="0.2">
      <c r="B49"/>
      <c r="C49"/>
      <c r="H49" s="52"/>
      <c r="I49"/>
      <c r="J49"/>
      <c r="K49"/>
      <c r="L49"/>
      <c r="M49"/>
      <c r="N49" s="7" t="s">
        <v>69</v>
      </c>
      <c r="O49" s="53">
        <f>+IF(O48&lt;O47,O48,O47)</f>
        <v>177966996.40811163</v>
      </c>
      <c r="P49"/>
      <c r="Q49" s="54"/>
    </row>
    <row r="50" spans="2:17" x14ac:dyDescent="0.2">
      <c r="B50"/>
      <c r="N50" s="17"/>
      <c r="O50"/>
    </row>
    <row r="51" spans="2:17" x14ac:dyDescent="0.2">
      <c r="B51"/>
      <c r="G51" s="54"/>
      <c r="J51"/>
    </row>
    <row r="52" spans="2:17" x14ac:dyDescent="0.2">
      <c r="B52"/>
    </row>
    <row r="53" spans="2:17" x14ac:dyDescent="0.2">
      <c r="B53"/>
    </row>
    <row r="54" spans="2:17" x14ac:dyDescent="0.2">
      <c r="B54"/>
    </row>
    <row r="55" spans="2:17" x14ac:dyDescent="0.2">
      <c r="B55"/>
    </row>
    <row r="56" spans="2:17" x14ac:dyDescent="0.2">
      <c r="B56"/>
    </row>
    <row r="57" spans="2:17" x14ac:dyDescent="0.2">
      <c r="B57"/>
    </row>
    <row r="58" spans="2:17" x14ac:dyDescent="0.2">
      <c r="B58"/>
    </row>
    <row r="59" spans="2:17" x14ac:dyDescent="0.2">
      <c r="B59"/>
    </row>
    <row r="60" spans="2:17" x14ac:dyDescent="0.2">
      <c r="B60"/>
    </row>
    <row r="61" spans="2:17" x14ac:dyDescent="0.2">
      <c r="B61"/>
    </row>
    <row r="62" spans="2:17" x14ac:dyDescent="0.2">
      <c r="B62"/>
    </row>
    <row r="63" spans="2:17" x14ac:dyDescent="0.2">
      <c r="B63"/>
    </row>
    <row r="64" spans="2:17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</sheetData>
  <dataConsolidate/>
  <mergeCells count="18"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1296-3384-473C-A0E8-E4F22ECAABA6}">
  <sheetPr codeName="Hoja1">
    <tabColor theme="8" tint="0.59999389629810485"/>
  </sheetPr>
  <dimension ref="A2:V73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20"/>
    <col min="2" max="2" width="24" style="20" customWidth="1"/>
    <col min="3" max="3" width="17.5703125" style="20" customWidth="1"/>
    <col min="4" max="4" width="12.85546875" style="20" bestFit="1" customWidth="1"/>
    <col min="5" max="5" width="20" style="20" customWidth="1"/>
    <col min="6" max="6" width="18.28515625" style="20" customWidth="1"/>
    <col min="7" max="7" width="20.140625" style="20" customWidth="1"/>
    <col min="8" max="8" width="12.85546875" style="20" customWidth="1"/>
    <col min="9" max="9" width="15.5703125" style="20" customWidth="1"/>
    <col min="10" max="10" width="23.140625" style="20" customWidth="1"/>
    <col min="11" max="11" width="20.140625" style="20" customWidth="1"/>
    <col min="12" max="12" width="8" style="20" customWidth="1"/>
    <col min="13" max="13" width="15.140625" style="20" customWidth="1"/>
    <col min="14" max="14" width="15.42578125" style="20" customWidth="1"/>
    <col min="15" max="15" width="16.5703125" style="20" customWidth="1"/>
    <col min="16" max="16" width="14.85546875" style="20" customWidth="1"/>
    <col min="17" max="17" width="20.28515625" style="20" customWidth="1"/>
    <col min="18" max="18" width="15.140625" style="20" customWidth="1"/>
    <col min="19" max="19" width="10.85546875" style="20" bestFit="1" customWidth="1"/>
    <col min="20" max="20" width="15.42578125" style="20" customWidth="1"/>
    <col min="21" max="21" width="12.85546875" style="20" customWidth="1"/>
    <col min="22" max="22" width="13.140625" style="20" customWidth="1"/>
    <col min="23" max="16384" width="11.42578125" style="20"/>
  </cols>
  <sheetData>
    <row r="2" spans="1:19" x14ac:dyDescent="0.2">
      <c r="B2" s="25" t="s">
        <v>77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9" x14ac:dyDescent="0.2">
      <c r="B3" s="21">
        <f>FechaFacturacion</f>
        <v>45717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6" spans="1:19" ht="12.75" customHeight="1" x14ac:dyDescent="0.2">
      <c r="B6" s="30" t="s">
        <v>6</v>
      </c>
      <c r="C6" s="29" t="s">
        <v>78</v>
      </c>
      <c r="D6" s="60"/>
      <c r="E6" s="29" t="s">
        <v>6</v>
      </c>
      <c r="F6" s="29" t="s">
        <v>79</v>
      </c>
      <c r="G6" s="29" t="s">
        <v>80</v>
      </c>
      <c r="H6" s="60"/>
      <c r="I6" s="29" t="s">
        <v>81</v>
      </c>
      <c r="J6" s="61" cm="1">
        <f t="array" ref="J6">SUMPRODUCT(($G$8:$G$32&gt;0)*($G$8:$G$32))</f>
        <v>177966996.40811163</v>
      </c>
      <c r="Q6" s="62"/>
      <c r="R6"/>
    </row>
    <row r="7" spans="1:19" ht="26.25" customHeight="1" x14ac:dyDescent="0.2">
      <c r="B7" s="30"/>
      <c r="C7" s="34"/>
      <c r="D7" s="60"/>
      <c r="E7" s="34"/>
      <c r="F7" s="34"/>
      <c r="G7" s="34"/>
      <c r="H7"/>
      <c r="I7" s="34"/>
      <c r="J7" s="63"/>
      <c r="P7"/>
      <c r="Q7"/>
      <c r="R7"/>
      <c r="S7"/>
    </row>
    <row r="8" spans="1:19" x14ac:dyDescent="0.2">
      <c r="B8" s="40" t="s">
        <v>14</v>
      </c>
      <c r="C8" s="41">
        <f>'Reliquidación AR'!$P9+'Reliquidación AR'!L9</f>
        <v>37709062.67653048</v>
      </c>
      <c r="D8" s="64"/>
      <c r="E8" s="40" t="s">
        <v>14</v>
      </c>
      <c r="F8" s="43">
        <v>0</v>
      </c>
      <c r="G8" s="43">
        <f>VLOOKUP(E8,$B$8:$C$42,2,0)+F8</f>
        <v>37709062.67653048</v>
      </c>
      <c r="H8" s="65"/>
      <c r="I8"/>
      <c r="P8"/>
      <c r="Q8"/>
      <c r="R8"/>
      <c r="S8"/>
    </row>
    <row r="9" spans="1:19" x14ac:dyDescent="0.2">
      <c r="B9" s="42" t="s">
        <v>15</v>
      </c>
      <c r="C9" s="43">
        <f>'Reliquidación AR'!$P10+'Reliquidación AR'!L10</f>
        <v>35343846.864618599</v>
      </c>
      <c r="D9" s="64"/>
      <c r="E9" s="42" t="s">
        <v>15</v>
      </c>
      <c r="F9" s="43">
        <v>0</v>
      </c>
      <c r="G9" s="43">
        <f>VLOOKUP(E9,$B$8:$C$42,2,0)+F9</f>
        <v>35343846.864618599</v>
      </c>
      <c r="H9" s="65"/>
      <c r="I9"/>
      <c r="P9"/>
      <c r="Q9"/>
      <c r="R9"/>
      <c r="S9"/>
    </row>
    <row r="10" spans="1:19" x14ac:dyDescent="0.2">
      <c r="B10" s="42" t="s">
        <v>16</v>
      </c>
      <c r="C10" s="43">
        <f>'Reliquidación AR'!$P11+'Reliquidación AR'!L11</f>
        <v>-1468109.4139626336</v>
      </c>
      <c r="D10" s="64"/>
      <c r="E10" s="42" t="s">
        <v>16</v>
      </c>
      <c r="F10" s="43">
        <v>0</v>
      </c>
      <c r="G10" s="43">
        <f>VLOOKUP(E10,$B$8:$C$42,2,0)+F10</f>
        <v>-1468109.4139626336</v>
      </c>
      <c r="H10" s="65"/>
      <c r="I10"/>
      <c r="P10"/>
      <c r="Q10"/>
      <c r="R10"/>
      <c r="S10"/>
    </row>
    <row r="11" spans="1:19" x14ac:dyDescent="0.2">
      <c r="B11" s="42" t="s">
        <v>17</v>
      </c>
      <c r="C11" s="43">
        <f>'Reliquidación AR'!$P12+'Reliquidación AR'!L12</f>
        <v>938447.01956159051</v>
      </c>
      <c r="D11" s="64"/>
      <c r="E11" s="42" t="s">
        <v>17</v>
      </c>
      <c r="F11" s="43">
        <v>0</v>
      </c>
      <c r="G11" s="43">
        <f>VLOOKUP(E11,$B$8:$C$42,2,0)+F11</f>
        <v>938447.01956159051</v>
      </c>
      <c r="H11" s="65"/>
      <c r="I11"/>
      <c r="O11"/>
      <c r="P11"/>
      <c r="Q11"/>
      <c r="R11"/>
      <c r="S11"/>
    </row>
    <row r="12" spans="1:19" x14ac:dyDescent="0.2">
      <c r="B12" s="42" t="s">
        <v>18</v>
      </c>
      <c r="C12" s="43">
        <f>'Reliquidación AR'!$P13+'Reliquidación AR'!L13</f>
        <v>-15806684.152331235</v>
      </c>
      <c r="D12" s="64"/>
      <c r="E12" s="42" t="s">
        <v>82</v>
      </c>
      <c r="F12" s="43">
        <v>0</v>
      </c>
      <c r="G12" s="43">
        <f>C12+C13+C14+C15+C16+C18+C19+C20+C37+C38+C39+F12</f>
        <v>-31484158.443151806</v>
      </c>
      <c r="H12" s="65"/>
      <c r="I12"/>
      <c r="O12"/>
      <c r="P12"/>
      <c r="Q12"/>
      <c r="R12"/>
      <c r="S12"/>
    </row>
    <row r="13" spans="1:19" x14ac:dyDescent="0.2">
      <c r="B13" s="42" t="s">
        <v>20</v>
      </c>
      <c r="C13" s="43">
        <f>'Reliquidación AR'!$P14+'Reliquidación AR'!L14</f>
        <v>-166791.37012587546</v>
      </c>
      <c r="D13" s="64"/>
      <c r="E13" s="42" t="s">
        <v>83</v>
      </c>
      <c r="F13" s="43">
        <v>0</v>
      </c>
      <c r="G13" s="43">
        <f>C17+F13</f>
        <v>-86301725.151270956</v>
      </c>
      <c r="H13" s="65"/>
      <c r="I13"/>
      <c r="O13"/>
      <c r="P13"/>
      <c r="Q13"/>
      <c r="R13"/>
      <c r="S13"/>
    </row>
    <row r="14" spans="1:19" x14ac:dyDescent="0.2">
      <c r="B14" s="42" t="s">
        <v>21</v>
      </c>
      <c r="C14" s="43">
        <f>'Reliquidación AR'!$P15+'Reliquidación AR'!L15</f>
        <v>-977726.7572775787</v>
      </c>
      <c r="D14" s="64"/>
      <c r="E14" s="42" t="s">
        <v>29</v>
      </c>
      <c r="F14" s="43">
        <v>0</v>
      </c>
      <c r="G14" s="43">
        <f t="shared" ref="G14:G32" si="0">VLOOKUP(E14,$B$8:$C$42,2,0)+F14</f>
        <v>70494562.454550624</v>
      </c>
      <c r="H14" s="65"/>
      <c r="I14"/>
      <c r="O14"/>
      <c r="P14"/>
      <c r="Q14"/>
      <c r="R14"/>
      <c r="S14"/>
    </row>
    <row r="15" spans="1:19" x14ac:dyDescent="0.2">
      <c r="B15" s="42" t="s">
        <v>22</v>
      </c>
      <c r="C15" s="43">
        <f>'Reliquidación AR'!$P16+'Reliquidación AR'!L16</f>
        <v>0</v>
      </c>
      <c r="D15" s="64"/>
      <c r="E15" s="42" t="s">
        <v>30</v>
      </c>
      <c r="F15" s="43">
        <v>0</v>
      </c>
      <c r="G15" s="43">
        <f t="shared" si="0"/>
        <v>-2839869.0507819969</v>
      </c>
      <c r="H15" s="65"/>
      <c r="I15"/>
      <c r="O15"/>
      <c r="P15"/>
      <c r="Q15"/>
      <c r="R15"/>
      <c r="S15"/>
    </row>
    <row r="16" spans="1:19" x14ac:dyDescent="0.2">
      <c r="A16"/>
      <c r="B16" s="42" t="s">
        <v>23</v>
      </c>
      <c r="C16" s="43">
        <f>'Reliquidación AR'!$P17+'Reliquidación AR'!L17</f>
        <v>0</v>
      </c>
      <c r="D16" s="64"/>
      <c r="E16" s="42" t="s">
        <v>31</v>
      </c>
      <c r="F16" s="43">
        <v>0</v>
      </c>
      <c r="G16" s="43">
        <f t="shared" si="0"/>
        <v>-1062851.057807683</v>
      </c>
      <c r="H16" s="65"/>
      <c r="I16"/>
      <c r="O16"/>
      <c r="P16"/>
      <c r="Q16"/>
      <c r="R16"/>
      <c r="S16"/>
    </row>
    <row r="17" spans="1:19" x14ac:dyDescent="0.2">
      <c r="B17" s="42" t="s">
        <v>24</v>
      </c>
      <c r="C17" s="43">
        <f>'Reliquidación AR'!$P18+'Reliquidación AR'!L18</f>
        <v>-86301725.151270956</v>
      </c>
      <c r="D17" s="64"/>
      <c r="E17" s="42" t="s">
        <v>32</v>
      </c>
      <c r="F17" s="43">
        <v>0</v>
      </c>
      <c r="G17" s="43">
        <f t="shared" si="0"/>
        <v>18103894.40117513</v>
      </c>
      <c r="H17" s="65"/>
      <c r="I17"/>
      <c r="O17"/>
      <c r="P17"/>
      <c r="Q17"/>
      <c r="R17"/>
      <c r="S17"/>
    </row>
    <row r="18" spans="1:19" x14ac:dyDescent="0.2">
      <c r="B18" s="42" t="s">
        <v>26</v>
      </c>
      <c r="C18" s="43">
        <f>'Reliquidación AR'!$P19+'Reliquidación AR'!L19</f>
        <v>-2245460.1533131977</v>
      </c>
      <c r="D18" s="64"/>
      <c r="E18" s="42" t="s">
        <v>33</v>
      </c>
      <c r="F18" s="43">
        <v>0</v>
      </c>
      <c r="G18" s="43">
        <f t="shared" si="0"/>
        <v>15377182.991675191</v>
      </c>
      <c r="H18" s="65"/>
      <c r="I18"/>
      <c r="O18"/>
      <c r="P18"/>
      <c r="Q18"/>
      <c r="R18"/>
      <c r="S18"/>
    </row>
    <row r="19" spans="1:19" x14ac:dyDescent="0.2">
      <c r="B19" s="42" t="s">
        <v>27</v>
      </c>
      <c r="C19" s="43">
        <f>'Reliquidación AR'!$P20+'Reliquidación AR'!L20</f>
        <v>-310305.7398763012</v>
      </c>
      <c r="D19" s="64"/>
      <c r="E19" s="42" t="s">
        <v>34</v>
      </c>
      <c r="F19" s="43">
        <v>0</v>
      </c>
      <c r="G19" s="43">
        <f t="shared" si="0"/>
        <v>-1292193.1791978185</v>
      </c>
      <c r="H19" s="65"/>
      <c r="I19"/>
      <c r="O19"/>
      <c r="P19"/>
      <c r="Q19"/>
      <c r="R19"/>
      <c r="S19"/>
    </row>
    <row r="20" spans="1:19" x14ac:dyDescent="0.2">
      <c r="B20" s="42" t="s">
        <v>28</v>
      </c>
      <c r="C20" s="43">
        <f>'Reliquidación AR'!$P21+'Reliquidación AR'!L21</f>
        <v>0</v>
      </c>
      <c r="D20" s="64"/>
      <c r="E20" s="42" t="s">
        <v>35</v>
      </c>
      <c r="F20" s="43">
        <v>0</v>
      </c>
      <c r="G20" s="43">
        <f t="shared" si="0"/>
        <v>-10932109.085084988</v>
      </c>
      <c r="H20" s="65"/>
      <c r="I20"/>
      <c r="O20"/>
      <c r="P20"/>
      <c r="Q20"/>
      <c r="R20"/>
      <c r="S20"/>
    </row>
    <row r="21" spans="1:19" x14ac:dyDescent="0.2">
      <c r="B21" s="42" t="s">
        <v>29</v>
      </c>
      <c r="C21" s="43">
        <f>'Reliquidación AR'!$P22+'Reliquidación AR'!L22</f>
        <v>70494562.454550624</v>
      </c>
      <c r="D21" s="64"/>
      <c r="E21" s="42" t="s">
        <v>36</v>
      </c>
      <c r="F21" s="43">
        <v>0</v>
      </c>
      <c r="G21" s="43">
        <f t="shared" si="0"/>
        <v>-2671959.5056379484</v>
      </c>
      <c r="H21" s="65"/>
      <c r="I21"/>
      <c r="O21"/>
      <c r="P21"/>
      <c r="Q21"/>
      <c r="R21"/>
      <c r="S21"/>
    </row>
    <row r="22" spans="1:19" x14ac:dyDescent="0.2">
      <c r="B22" s="42" t="s">
        <v>30</v>
      </c>
      <c r="C22" s="43">
        <f>'Reliquidación AR'!$P23+'Reliquidación AR'!L23</f>
        <v>-2839869.0507819969</v>
      </c>
      <c r="D22" s="64"/>
      <c r="E22" s="42" t="s">
        <v>37</v>
      </c>
      <c r="F22" s="43">
        <v>0</v>
      </c>
      <c r="G22" s="43">
        <f t="shared" si="0"/>
        <v>-16225307.035233527</v>
      </c>
      <c r="H22" s="65"/>
      <c r="I22"/>
      <c r="O22"/>
      <c r="P22"/>
      <c r="Q22"/>
      <c r="R22"/>
      <c r="S22"/>
    </row>
    <row r="23" spans="1:19" x14ac:dyDescent="0.2">
      <c r="B23" s="42" t="s">
        <v>31</v>
      </c>
      <c r="C23" s="43">
        <f>'Reliquidación AR'!$P24+'Reliquidación AR'!L24</f>
        <v>-1062851.057807683</v>
      </c>
      <c r="D23" s="64"/>
      <c r="E23" s="42" t="s">
        <v>38</v>
      </c>
      <c r="F23" s="43">
        <v>0</v>
      </c>
      <c r="G23" s="43">
        <f t="shared" si="0"/>
        <v>-948383.83964072517</v>
      </c>
      <c r="H23" s="65"/>
      <c r="I23"/>
      <c r="O23"/>
      <c r="P23"/>
      <c r="Q23"/>
      <c r="R23"/>
      <c r="S23"/>
    </row>
    <row r="24" spans="1:19" x14ac:dyDescent="0.2">
      <c r="B24" s="42" t="s">
        <v>32</v>
      </c>
      <c r="C24" s="43">
        <f>'Reliquidación AR'!$P25+'Reliquidación AR'!L25</f>
        <v>18103894.40117513</v>
      </c>
      <c r="D24" s="64"/>
      <c r="E24" s="42" t="s">
        <v>39</v>
      </c>
      <c r="F24" s="43">
        <v>0</v>
      </c>
      <c r="G24" s="43">
        <f t="shared" si="0"/>
        <v>-18010963.40033209</v>
      </c>
      <c r="H24" s="65"/>
      <c r="I24"/>
      <c r="O24"/>
      <c r="P24"/>
      <c r="Q24"/>
      <c r="R24"/>
      <c r="S24"/>
    </row>
    <row r="25" spans="1:19" x14ac:dyDescent="0.2">
      <c r="B25" s="42" t="s">
        <v>33</v>
      </c>
      <c r="C25" s="43">
        <f>'Reliquidación AR'!$P26+'Reliquidación AR'!L26</f>
        <v>15377182.991675191</v>
      </c>
      <c r="D25" s="64"/>
      <c r="E25" s="42" t="s">
        <v>40</v>
      </c>
      <c r="F25" s="43">
        <v>0</v>
      </c>
      <c r="G25" s="43">
        <f t="shared" si="0"/>
        <v>-385358.50642119488</v>
      </c>
      <c r="H25" s="65"/>
      <c r="I25"/>
      <c r="O25"/>
      <c r="P25"/>
      <c r="Q25"/>
      <c r="R25"/>
      <c r="S25"/>
    </row>
    <row r="26" spans="1:19" x14ac:dyDescent="0.2">
      <c r="B26" s="42" t="s">
        <v>34</v>
      </c>
      <c r="C26" s="43">
        <f>'Reliquidación AR'!$P27+'Reliquidación AR'!L27</f>
        <v>-1292193.1791978185</v>
      </c>
      <c r="D26" s="64"/>
      <c r="E26" s="42" t="s">
        <v>41</v>
      </c>
      <c r="F26" s="43">
        <v>0</v>
      </c>
      <c r="G26" s="43">
        <f t="shared" si="0"/>
        <v>-1047029.6407415824</v>
      </c>
      <c r="H26" s="65"/>
      <c r="I26"/>
      <c r="O26"/>
      <c r="P26"/>
      <c r="Q26"/>
      <c r="R26"/>
      <c r="S26"/>
    </row>
    <row r="27" spans="1:19" x14ac:dyDescent="0.2">
      <c r="B27" s="42" t="s">
        <v>35</v>
      </c>
      <c r="C27" s="43">
        <f>'Reliquidación AR'!$P28+'Reliquidación AR'!L28</f>
        <v>-10932109.085084988</v>
      </c>
      <c r="D27" s="64"/>
      <c r="E27" s="42" t="s">
        <v>42</v>
      </c>
      <c r="F27" s="43">
        <v>0</v>
      </c>
      <c r="G27" s="43">
        <f t="shared" si="0"/>
        <v>-1311169.2188858709</v>
      </c>
      <c r="H27" s="65"/>
      <c r="I27"/>
      <c r="O27"/>
      <c r="P27"/>
      <c r="Q27"/>
      <c r="R27"/>
      <c r="S27"/>
    </row>
    <row r="28" spans="1:19" x14ac:dyDescent="0.2">
      <c r="B28" s="42" t="s">
        <v>36</v>
      </c>
      <c r="C28" s="43">
        <f>'Reliquidación AR'!$P29+'Reliquidación AR'!L29</f>
        <v>-2671959.5056379484</v>
      </c>
      <c r="D28" s="64"/>
      <c r="E28" s="42" t="s">
        <v>43</v>
      </c>
      <c r="F28" s="43">
        <v>0</v>
      </c>
      <c r="G28" s="43">
        <f t="shared" si="0"/>
        <v>-1817522.6623114333</v>
      </c>
      <c r="H28" s="65"/>
      <c r="I28"/>
      <c r="O28"/>
      <c r="P28"/>
      <c r="Q28"/>
      <c r="R28"/>
      <c r="S28"/>
    </row>
    <row r="29" spans="1:19" x14ac:dyDescent="0.2">
      <c r="A29"/>
      <c r="B29" s="42" t="s">
        <v>37</v>
      </c>
      <c r="C29" s="43">
        <f>'Reliquidación AR'!$P30+'Reliquidación AR'!L30</f>
        <v>-16225307.035233527</v>
      </c>
      <c r="D29" s="64"/>
      <c r="E29" s="42" t="s">
        <v>45</v>
      </c>
      <c r="F29" s="43">
        <v>0</v>
      </c>
      <c r="G29" s="43">
        <f t="shared" si="0"/>
        <v>-162588.57593692618</v>
      </c>
      <c r="H29" s="65"/>
      <c r="I29"/>
      <c r="O29"/>
      <c r="P29"/>
      <c r="Q29"/>
      <c r="R29"/>
      <c r="S29"/>
    </row>
    <row r="30" spans="1:19" x14ac:dyDescent="0.2">
      <c r="B30" s="42" t="s">
        <v>38</v>
      </c>
      <c r="C30" s="43">
        <f>'Reliquidación AR'!$P31+'Reliquidación AR'!L31</f>
        <v>-948383.83964072517</v>
      </c>
      <c r="D30" s="64"/>
      <c r="E30" s="42" t="s">
        <v>49</v>
      </c>
      <c r="F30" s="43">
        <v>0</v>
      </c>
      <c r="G30" s="43">
        <f t="shared" si="0"/>
        <v>0</v>
      </c>
      <c r="H30" s="65"/>
      <c r="I30"/>
      <c r="O30"/>
      <c r="P30"/>
      <c r="Q30"/>
      <c r="R30"/>
      <c r="S30"/>
    </row>
    <row r="31" spans="1:19" x14ac:dyDescent="0.2">
      <c r="A31"/>
      <c r="B31" s="42" t="s">
        <v>39</v>
      </c>
      <c r="C31" s="43">
        <f>'Reliquidación AR'!$P32+'Reliquidación AR'!L32</f>
        <v>-18010963.40033209</v>
      </c>
      <c r="D31" s="64"/>
      <c r="E31" s="42" t="s">
        <v>50</v>
      </c>
      <c r="F31" s="43">
        <v>0</v>
      </c>
      <c r="G31" s="43">
        <f t="shared" si="0"/>
        <v>-888.3364321306218</v>
      </c>
      <c r="H31" s="65"/>
      <c r="I31"/>
      <c r="O31"/>
      <c r="P31"/>
      <c r="Q31"/>
      <c r="R31"/>
      <c r="S31"/>
    </row>
    <row r="32" spans="1:19" x14ac:dyDescent="0.2">
      <c r="A32"/>
      <c r="B32" s="42" t="s">
        <v>40</v>
      </c>
      <c r="C32" s="43">
        <f>'Reliquidación AR'!$P33+'Reliquidación AR'!L33</f>
        <v>-385358.50642119488</v>
      </c>
      <c r="D32" s="64"/>
      <c r="E32" s="44" t="s">
        <v>51</v>
      </c>
      <c r="F32" s="43">
        <v>0</v>
      </c>
      <c r="G32" s="43">
        <f t="shared" si="0"/>
        <v>-4810.3052803060855</v>
      </c>
      <c r="H32" s="65"/>
      <c r="I32"/>
      <c r="O32"/>
      <c r="P32"/>
      <c r="Q32"/>
      <c r="R32"/>
      <c r="S32"/>
    </row>
    <row r="33" spans="1:22" x14ac:dyDescent="0.2">
      <c r="A33"/>
      <c r="B33" s="42" t="s">
        <v>41</v>
      </c>
      <c r="C33" s="43">
        <f>'Reliquidación AR'!$P34+'Reliquidación AR'!L34</f>
        <v>-1047029.6407415824</v>
      </c>
      <c r="D33" s="64"/>
      <c r="E33" s="46" t="s">
        <v>66</v>
      </c>
      <c r="F33" s="16">
        <f>SUM(F7:F32)</f>
        <v>0</v>
      </c>
      <c r="G33" s="16">
        <f>SUM(G7:G32)</f>
        <v>-5.7261786423623562E-9</v>
      </c>
      <c r="H33"/>
      <c r="I33"/>
      <c r="O33"/>
      <c r="P33"/>
      <c r="Q33"/>
      <c r="R33"/>
      <c r="S33"/>
    </row>
    <row r="34" spans="1:22" x14ac:dyDescent="0.2">
      <c r="B34" s="42" t="s">
        <v>42</v>
      </c>
      <c r="C34" s="43">
        <f>'Reliquidación AR'!$P35+'Reliquidación AR'!L35</f>
        <v>-1311169.2188858709</v>
      </c>
      <c r="D34" s="64"/>
      <c r="E34" s="66"/>
      <c r="F34" s="66"/>
      <c r="G34" s="17"/>
      <c r="H34"/>
      <c r="I34"/>
      <c r="O34"/>
      <c r="P34"/>
      <c r="Q34"/>
      <c r="R34"/>
      <c r="S34"/>
    </row>
    <row r="35" spans="1:22" x14ac:dyDescent="0.2">
      <c r="A35"/>
      <c r="B35" s="42" t="s">
        <v>43</v>
      </c>
      <c r="C35" s="43">
        <f>'Reliquidación AR'!$P36+'Reliquidación AR'!L36</f>
        <v>-1817522.6623114333</v>
      </c>
      <c r="D35" s="64"/>
      <c r="E35" s="66"/>
      <c r="F35" s="67"/>
      <c r="G35" s="17"/>
      <c r="H35"/>
      <c r="I35"/>
      <c r="O35"/>
      <c r="P35"/>
      <c r="Q35"/>
      <c r="R35"/>
      <c r="S35"/>
    </row>
    <row r="36" spans="1:22" x14ac:dyDescent="0.2">
      <c r="A36"/>
      <c r="B36" s="42" t="s">
        <v>45</v>
      </c>
      <c r="C36" s="43">
        <f>'Reliquidación AR'!$P37+'Reliquidación AR'!L37</f>
        <v>-162588.57593692618</v>
      </c>
      <c r="D36" s="64"/>
      <c r="E36" s="64"/>
      <c r="F36" s="64"/>
      <c r="G36" s="64"/>
      <c r="H36" s="64"/>
      <c r="I36" s="66"/>
      <c r="J36" s="66"/>
      <c r="K36" s="17"/>
      <c r="L36" s="17"/>
      <c r="M36" s="17"/>
      <c r="N36" s="54"/>
      <c r="O36"/>
      <c r="P36"/>
      <c r="Q36"/>
      <c r="R36"/>
      <c r="S36"/>
    </row>
    <row r="37" spans="1:22" x14ac:dyDescent="0.2">
      <c r="B37" s="42" t="s">
        <v>46</v>
      </c>
      <c r="C37" s="43">
        <f>'Reliquidación AR'!$P38+'Reliquidación AR'!L38</f>
        <v>-2037426.0715960015</v>
      </c>
      <c r="D37" s="64"/>
      <c r="E37" s="64"/>
      <c r="F37" s="64"/>
      <c r="G37" s="64"/>
      <c r="H37" s="64"/>
      <c r="I37" s="66"/>
      <c r="J37" s="66"/>
      <c r="K37" s="17"/>
      <c r="L37" s="17"/>
      <c r="M37" s="17"/>
      <c r="N37" s="54"/>
      <c r="O37"/>
      <c r="P37"/>
      <c r="Q37"/>
      <c r="R37"/>
      <c r="S37"/>
    </row>
    <row r="38" spans="1:22" x14ac:dyDescent="0.2">
      <c r="B38" s="42" t="s">
        <v>47</v>
      </c>
      <c r="C38" s="43">
        <f>'Reliquidación AR'!$P39+'Reliquidación AR'!L39</f>
        <v>-3344012.4301042655</v>
      </c>
      <c r="D38" s="64"/>
      <c r="E38" s="64"/>
      <c r="F38" s="64"/>
      <c r="G38" s="64"/>
      <c r="H38" s="64"/>
      <c r="I38" s="66"/>
      <c r="J38" s="66"/>
      <c r="K38" s="17"/>
      <c r="L38" s="17"/>
      <c r="M38" s="17"/>
      <c r="N38" s="54"/>
      <c r="O38"/>
      <c r="P38"/>
      <c r="Q38"/>
      <c r="R38"/>
      <c r="S38"/>
    </row>
    <row r="39" spans="1:22" x14ac:dyDescent="0.2">
      <c r="B39" s="42" t="s">
        <v>48</v>
      </c>
      <c r="C39" s="43">
        <f>'Reliquidación AR'!$P40+'Reliquidación AR'!L40</f>
        <v>-6595751.7685273504</v>
      </c>
      <c r="D39" s="64"/>
      <c r="E39" s="64"/>
      <c r="F39" s="64"/>
      <c r="G39" s="64"/>
      <c r="H39" s="64"/>
      <c r="I39" s="66"/>
      <c r="J39" s="66"/>
      <c r="K39" s="17"/>
      <c r="L39" s="17"/>
      <c r="M39" s="17"/>
      <c r="N39" s="54"/>
      <c r="O39"/>
      <c r="P39"/>
      <c r="Q39"/>
      <c r="R39"/>
      <c r="S39"/>
    </row>
    <row r="40" spans="1:22" x14ac:dyDescent="0.2">
      <c r="B40" s="42" t="s">
        <v>49</v>
      </c>
      <c r="C40" s="43">
        <f>'Reliquidación AR'!$P41+'Reliquidación AR'!L41</f>
        <v>0</v>
      </c>
      <c r="D40" s="64"/>
      <c r="E40" s="64"/>
      <c r="F40" s="64"/>
      <c r="G40" s="64"/>
      <c r="H40" s="64"/>
      <c r="I40" s="66"/>
      <c r="J40" s="66"/>
      <c r="K40" s="17"/>
      <c r="L40" s="17"/>
      <c r="M40" s="17"/>
      <c r="N40" s="54"/>
      <c r="O40"/>
      <c r="P40"/>
      <c r="Q40"/>
      <c r="R40"/>
      <c r="S40"/>
    </row>
    <row r="41" spans="1:22" x14ac:dyDescent="0.2">
      <c r="B41" s="42" t="s">
        <v>50</v>
      </c>
      <c r="C41" s="43">
        <f>'Reliquidación AR'!$P42+'Reliquidación AR'!L42</f>
        <v>-888.3364321306218</v>
      </c>
      <c r="D41" s="64"/>
      <c r="E41" s="64"/>
      <c r="F41" s="64"/>
      <c r="G41" s="64"/>
      <c r="H41" s="64"/>
      <c r="I41" s="66"/>
      <c r="J41" s="66"/>
      <c r="K41" s="17"/>
      <c r="L41" s="17"/>
      <c r="M41" s="17"/>
      <c r="N41" s="54"/>
      <c r="O41"/>
      <c r="P41"/>
      <c r="Q41"/>
      <c r="R41"/>
      <c r="S41"/>
    </row>
    <row r="42" spans="1:22" x14ac:dyDescent="0.2">
      <c r="B42" s="44" t="s">
        <v>51</v>
      </c>
      <c r="C42" s="43">
        <f>'Reliquidación AR'!$P43+'Reliquidación AR'!L43</f>
        <v>-4810.3052803060855</v>
      </c>
      <c r="D42" s="64"/>
      <c r="E42" s="64"/>
      <c r="F42" s="64"/>
      <c r="G42" s="64"/>
      <c r="H42" s="64"/>
      <c r="I42" s="66"/>
      <c r="J42" s="66"/>
      <c r="K42" s="17"/>
      <c r="L42" s="17"/>
      <c r="M42" s="17"/>
      <c r="N42" s="54"/>
      <c r="O42"/>
      <c r="P42"/>
      <c r="Q42"/>
      <c r="R42"/>
      <c r="S42"/>
      <c r="T42" s="66"/>
      <c r="U42" s="68"/>
      <c r="V42" s="68"/>
    </row>
    <row r="43" spans="1:22" x14ac:dyDescent="0.2">
      <c r="B43" s="46" t="s">
        <v>66</v>
      </c>
      <c r="C43" s="16">
        <f>SUM(C8:C42)</f>
        <v>6.2645995058119297E-9</v>
      </c>
      <c r="D43" s="69"/>
      <c r="E43" s="69"/>
      <c r="F43" s="69"/>
      <c r="G43" s="69"/>
      <c r="H43" s="69"/>
      <c r="I43" s="66"/>
      <c r="J43" s="66"/>
      <c r="K43" s="17"/>
      <c r="N43" s="54"/>
      <c r="O43"/>
      <c r="P43"/>
      <c r="Q43"/>
      <c r="R43"/>
      <c r="S43"/>
    </row>
    <row r="44" spans="1:22" x14ac:dyDescent="0.2">
      <c r="I44"/>
      <c r="J44"/>
      <c r="O44"/>
      <c r="P44"/>
    </row>
    <row r="45" spans="1:22" x14ac:dyDescent="0.2">
      <c r="B45" s="66"/>
      <c r="C45" s="68"/>
      <c r="D45" s="68"/>
      <c r="E45" s="68"/>
      <c r="F45" s="68"/>
      <c r="G45" s="68"/>
      <c r="H45" s="68"/>
      <c r="I45"/>
      <c r="J45"/>
      <c r="L45"/>
      <c r="M45"/>
      <c r="O45"/>
      <c r="P45"/>
    </row>
    <row r="46" spans="1:22" x14ac:dyDescent="0.2">
      <c r="B46"/>
      <c r="C46"/>
      <c r="D46"/>
      <c r="E46"/>
      <c r="F46"/>
      <c r="G46"/>
      <c r="H46"/>
      <c r="I46" s="17"/>
      <c r="J46" s="17"/>
      <c r="K46"/>
      <c r="L46"/>
      <c r="M46"/>
      <c r="N46"/>
      <c r="O46"/>
      <c r="P46"/>
      <c r="Q46"/>
      <c r="R46"/>
    </row>
    <row r="47" spans="1:22" x14ac:dyDescent="0.2">
      <c r="B47" s="19" t="s">
        <v>84</v>
      </c>
      <c r="C47"/>
      <c r="D47"/>
      <c r="E47"/>
      <c r="F47"/>
      <c r="G47"/>
      <c r="H47"/>
      <c r="I47" s="17"/>
      <c r="J47" s="17"/>
      <c r="K47"/>
      <c r="L47"/>
      <c r="M47"/>
      <c r="N47"/>
      <c r="O47"/>
      <c r="P47"/>
      <c r="Q47"/>
      <c r="R47"/>
    </row>
    <row r="48" spans="1:22" ht="15" x14ac:dyDescent="0.25">
      <c r="B48"/>
      <c r="C48" s="70"/>
      <c r="D48" s="70"/>
      <c r="E48" s="70"/>
      <c r="F48" s="70"/>
      <c r="G48" s="70"/>
      <c r="H48" s="70"/>
      <c r="I48"/>
      <c r="J48"/>
      <c r="K48"/>
      <c r="N48" s="70"/>
      <c r="O48" s="70"/>
      <c r="P48" s="70"/>
      <c r="Q48" s="70"/>
      <c r="R48" s="70"/>
    </row>
    <row r="49" spans="2:13" x14ac:dyDescent="0.2">
      <c r="B49" s="71" t="s">
        <v>85</v>
      </c>
      <c r="C49" s="72" t="s">
        <v>86</v>
      </c>
      <c r="D49" s="73"/>
      <c r="E49" s="73"/>
      <c r="F49" s="73"/>
      <c r="G49" s="73"/>
      <c r="H49" s="73"/>
      <c r="I49" s="74"/>
      <c r="J49" s="75" t="s">
        <v>52</v>
      </c>
      <c r="L49" s="76"/>
      <c r="M49" s="76"/>
    </row>
    <row r="50" spans="2:13" x14ac:dyDescent="0.2">
      <c r="B50" s="77"/>
      <c r="C50" s="49" t="s">
        <v>14</v>
      </c>
      <c r="D50" s="49" t="s">
        <v>15</v>
      </c>
      <c r="E50" s="78" t="s">
        <v>17</v>
      </c>
      <c r="F50" s="78" t="s">
        <v>29</v>
      </c>
      <c r="G50" s="78" t="s">
        <v>32</v>
      </c>
      <c r="H50" s="78" t="s">
        <v>33</v>
      </c>
      <c r="I50" s="78" t="s">
        <v>49</v>
      </c>
      <c r="J50" s="75"/>
      <c r="L50" s="22"/>
    </row>
    <row r="51" spans="2:13" x14ac:dyDescent="0.2">
      <c r="B51" s="78" t="s">
        <v>16</v>
      </c>
      <c r="C51" s="79" cm="1">
        <f t="array" ref="C51">(VLOOKUP($B51,$E$8:$G$33,3,0)*(-(VLOOKUP(C$50,$E$8:$G$33,3,0))))/SUMPRODUCT(($G$8:$G$33&gt;0)*($G$8:$G$33))</f>
        <v>311074.69937947474</v>
      </c>
      <c r="D51" s="79" cm="1">
        <f t="array" ref="D51">(VLOOKUP($B51,$E$8:$G$33,3,0)*(-(VLOOKUP(D$50,$E$8:$G$33,3,0))))/SUMPRODUCT(($G$8:$G$33&gt;0)*($G$8:$G$33))</f>
        <v>291563.24124620232</v>
      </c>
      <c r="E51" s="79" cm="1">
        <f t="array" ref="E51">(VLOOKUP($B51,$E$8:$G$33,3,0)*(-(VLOOKUP(E$50,$E$8:$G$33,3,0))))/SUMPRODUCT(($G$8:$G$33&gt;0)*($G$8:$G$33))</f>
        <v>7741.5640637330562</v>
      </c>
      <c r="F51" s="79" cm="1">
        <f t="array" ref="F51">(VLOOKUP($B51,$E$8:$G$33,3,0)*(-(VLOOKUP(F$50,$E$8:$G$33,3,0))))/SUMPRODUCT(($G$8:$G$33&gt;0)*($G$8:$G$33))</f>
        <v>581533.27786334103</v>
      </c>
      <c r="G51" s="79" cm="1">
        <f t="array" ref="G51">(VLOOKUP($B51,$E$8:$G$33,3,0)*(-(VLOOKUP(G$50,$E$8:$G$33,3,0))))/SUMPRODUCT(($G$8:$G$33&gt;0)*($G$8:$G$33))</f>
        <v>149345.09395664101</v>
      </c>
      <c r="H51" s="79" cm="1">
        <f t="array" ref="H51">(VLOOKUP($B51,$E$8:$G$33,3,0)*(-(VLOOKUP(H$50,$E$8:$G$33,3,0))))/SUMPRODUCT(($G$8:$G$33&gt;0)*($G$8:$G$33))</f>
        <v>126851.53745324136</v>
      </c>
      <c r="I51" s="79" cm="1">
        <f t="array" ref="I51">(VLOOKUP($B51,$E$8:$G$33,3,0)*(-(VLOOKUP(I$50,$E$8:$G$33,3,0))))/SUMPRODUCT(($G$8:$G$33&gt;0)*($G$8:$G$33))</f>
        <v>0</v>
      </c>
      <c r="J51" s="80">
        <f>SUM(C51:I51)</f>
        <v>1468109.4139626336</v>
      </c>
      <c r="K51" s="22"/>
      <c r="L51" s="17"/>
    </row>
    <row r="52" spans="2:13" x14ac:dyDescent="0.2">
      <c r="B52" s="81" t="s">
        <v>82</v>
      </c>
      <c r="C52" s="79" cm="1">
        <f t="array" ref="C52">(VLOOKUP($B52,$E$8:$G$33,3,0)*(-(VLOOKUP(C$50,$E$8:$G$33,3,0))))/SUMPRODUCT(($G$8:$G$33&gt;0)*($G$8:$G$33))</f>
        <v>6671113.9032097198</v>
      </c>
      <c r="D52" s="79" cm="1">
        <f t="array" ref="D52">(VLOOKUP($B52,$E$8:$G$33,3,0)*(-(VLOOKUP(D$50,$E$8:$G$33,3,0))))/SUMPRODUCT(($G$8:$G$33&gt;0)*($G$8:$G$33))</f>
        <v>6252683.3465478811</v>
      </c>
      <c r="E52" s="79" cm="1">
        <f t="array" ref="E52">(VLOOKUP($B52,$E$8:$G$33,3,0)*(-(VLOOKUP(E$50,$E$8:$G$33,3,0))))/SUMPRODUCT(($G$8:$G$33&gt;0)*($G$8:$G$33))</f>
        <v>166020.75244685088</v>
      </c>
      <c r="F52" s="79" cm="1">
        <f t="array" ref="F52">(VLOOKUP($B52,$E$8:$G$33,3,0)*(-(VLOOKUP(F$50,$E$8:$G$33,3,0))))/SUMPRODUCT(($G$8:$G$33&gt;0)*($G$8:$G$33))</f>
        <v>12471199.820724571</v>
      </c>
      <c r="G52" s="79" cm="1">
        <f t="array" ref="G52">(VLOOKUP($B52,$E$8:$G$33,3,0)*(-(VLOOKUP(G$50,$E$8:$G$33,3,0))))/SUMPRODUCT(($G$8:$G$33&gt;0)*($G$8:$G$33))</f>
        <v>3202761.6989028817</v>
      </c>
      <c r="H52" s="79" cm="1">
        <f t="array" ref="H52">(VLOOKUP($B52,$E$8:$G$33,3,0)*(-(VLOOKUP(H$50,$E$8:$G$33,3,0))))/SUMPRODUCT(($G$8:$G$33&gt;0)*($G$8:$G$33))</f>
        <v>2720378.9213198978</v>
      </c>
      <c r="I52" s="79" cm="1">
        <f t="array" ref="I52">(VLOOKUP($B52,$E$8:$G$33,3,0)*(-(VLOOKUP(I$50,$E$8:$G$33,3,0))))/SUMPRODUCT(($G$8:$G$33&gt;0)*($G$8:$G$33))</f>
        <v>0</v>
      </c>
      <c r="J52" s="80">
        <f>SUM(C52:I52)</f>
        <v>31484158.443151806</v>
      </c>
      <c r="K52" s="17"/>
      <c r="L52" s="17"/>
    </row>
    <row r="53" spans="2:13" x14ac:dyDescent="0.2">
      <c r="B53" s="81" t="s">
        <v>83</v>
      </c>
      <c r="C53" s="79" cm="1">
        <f t="array" ref="C53">(VLOOKUP($B53,$E$8:$G$33,3,0)*(-(VLOOKUP(C$50,$E$8:$G$33,3,0))))/SUMPRODUCT(($G$8:$G$33&gt;0)*($G$8:$G$33))</f>
        <v>18286295.934101924</v>
      </c>
      <c r="D53" s="79" cm="1">
        <f t="array" ref="D53">(VLOOKUP($B53,$E$8:$G$33,3,0)*(-(VLOOKUP(D$50,$E$8:$G$33,3,0))))/SUMPRODUCT(($G$8:$G$33&gt;0)*($G$8:$G$33))</f>
        <v>17139329.310835615</v>
      </c>
      <c r="E53" s="79" cm="1">
        <f t="array" ref="E53">(VLOOKUP($B53,$E$8:$G$33,3,0)*(-(VLOOKUP(E$50,$E$8:$G$33,3,0))))/SUMPRODUCT(($G$8:$G$33&gt;0)*($G$8:$G$33))</f>
        <v>455082.11289642419</v>
      </c>
      <c r="F53" s="79" cm="1">
        <f t="array" ref="F53">(VLOOKUP($B53,$E$8:$G$33,3,0)*(-(VLOOKUP(F$50,$E$8:$G$33,3,0))))/SUMPRODUCT(($G$8:$G$33&gt;0)*($G$8:$G$33))</f>
        <v>34185003.266900316</v>
      </c>
      <c r="G53" s="79" cm="1">
        <f t="array" ref="G53">(VLOOKUP($B53,$E$8:$G$33,3,0)*(-(VLOOKUP(G$50,$E$8:$G$33,3,0))))/SUMPRODUCT(($G$8:$G$33&gt;0)*($G$8:$G$33))</f>
        <v>8779140.7975160722</v>
      </c>
      <c r="H53" s="79" cm="1">
        <f t="array" ref="H53">(VLOOKUP($B53,$E$8:$G$33,3,0)*(-(VLOOKUP(H$50,$E$8:$G$33,3,0))))/SUMPRODUCT(($G$8:$G$33&gt;0)*($G$8:$G$33))</f>
        <v>7456873.7290205983</v>
      </c>
      <c r="I53" s="79" cm="1">
        <f t="array" ref="I53">(VLOOKUP($B53,$E$8:$G$33,3,0)*(-(VLOOKUP(I$50,$E$8:$G$33,3,0))))/SUMPRODUCT(($G$8:$G$33&gt;0)*($G$8:$G$33))</f>
        <v>0</v>
      </c>
      <c r="J53" s="80">
        <f>SUM(C53:I53)</f>
        <v>86301725.151270956</v>
      </c>
      <c r="K53" s="17"/>
      <c r="L53" s="17"/>
    </row>
    <row r="54" spans="2:13" x14ac:dyDescent="0.2">
      <c r="B54" s="81" t="s">
        <v>30</v>
      </c>
      <c r="C54" s="79" cm="1">
        <f t="array" ref="C54">(VLOOKUP($B54,$E$8:$G$33,3,0)*(-(VLOOKUP(C$50,$E$8:$G$33,3,0))))/SUMPRODUCT(($G$8:$G$33&gt;0)*($G$8:$G$33))</f>
        <v>601734.04165063717</v>
      </c>
      <c r="D54" s="79" cm="1">
        <f t="array" ref="D54">(VLOOKUP($B54,$E$8:$G$33,3,0)*(-(VLOOKUP(D$50,$E$8:$G$33,3,0))))/SUMPRODUCT(($G$8:$G$33&gt;0)*($G$8:$G$33))</f>
        <v>563991.63256223721</v>
      </c>
      <c r="E54" s="79" cm="1">
        <f t="array" ref="E54">(VLOOKUP($B54,$E$8:$G$33,3,0)*(-(VLOOKUP(E$50,$E$8:$G$33,3,0))))/SUMPRODUCT(($G$8:$G$33&gt;0)*($G$8:$G$33))</f>
        <v>14975.061109308559</v>
      </c>
      <c r="F54" s="79" cm="1">
        <f t="array" ref="F54">(VLOOKUP($B54,$E$8:$G$33,3,0)*(-(VLOOKUP(F$50,$E$8:$G$33,3,0))))/SUMPRODUCT(($G$8:$G$33&gt;0)*($G$8:$G$33))</f>
        <v>1124901.4154512757</v>
      </c>
      <c r="G54" s="79" cm="1">
        <f t="array" ref="G54">(VLOOKUP($B54,$E$8:$G$33,3,0)*(-(VLOOKUP(G$50,$E$8:$G$33,3,0))))/SUMPRODUCT(($G$8:$G$33&gt;0)*($G$8:$G$33))</f>
        <v>288888.89763933426</v>
      </c>
      <c r="H54" s="79" cm="1">
        <f t="array" ref="H54">(VLOOKUP($B54,$E$8:$G$33,3,0)*(-(VLOOKUP(H$50,$E$8:$G$33,3,0))))/SUMPRODUCT(($G$8:$G$33&gt;0)*($G$8:$G$33))</f>
        <v>245378.00236920372</v>
      </c>
      <c r="I54" s="79" cm="1">
        <f t="array" ref="I54">(VLOOKUP($B54,$E$8:$G$33,3,0)*(-(VLOOKUP(I$50,$E$8:$G$33,3,0))))/SUMPRODUCT(($G$8:$G$33&gt;0)*($G$8:$G$33))</f>
        <v>0</v>
      </c>
      <c r="J54" s="80">
        <f t="shared" ref="J54:J56" si="1">SUM(C54:I54)</f>
        <v>2839869.0507819965</v>
      </c>
      <c r="K54" s="17"/>
      <c r="L54" s="17"/>
    </row>
    <row r="55" spans="2:13" x14ac:dyDescent="0.2">
      <c r="B55" s="81" t="s">
        <v>31</v>
      </c>
      <c r="C55" s="79" cm="1">
        <f t="array" ref="C55">(VLOOKUP($B55,$E$8:$G$33,3,0)*(-(VLOOKUP(C$50,$E$8:$G$33,3,0))))/SUMPRODUCT(($G$8:$G$33&gt;0)*($G$8:$G$33))</f>
        <v>225205.33561614831</v>
      </c>
      <c r="D55" s="79" cm="1">
        <f t="array" ref="D55">(VLOOKUP($B55,$E$8:$G$33,3,0)*(-(VLOOKUP(D$50,$E$8:$G$33,3,0))))/SUMPRODUCT(($G$8:$G$33&gt;0)*($G$8:$G$33))</f>
        <v>211079.83943780512</v>
      </c>
      <c r="E55" s="79" cm="1">
        <f t="array" ref="E55">(VLOOKUP($B55,$E$8:$G$33,3,0)*(-(VLOOKUP(E$50,$E$8:$G$33,3,0))))/SUMPRODUCT(($G$8:$G$33&gt;0)*($G$8:$G$33))</f>
        <v>5604.5751603865447</v>
      </c>
      <c r="F55" s="79" cm="1">
        <f t="array" ref="F55">(VLOOKUP($B55,$E$8:$G$33,3,0)*(-(VLOOKUP(F$50,$E$8:$G$33,3,0))))/SUMPRODUCT(($G$8:$G$33&gt;0)*($G$8:$G$33))</f>
        <v>421006.26400802628</v>
      </c>
      <c r="G55" s="79" cm="1">
        <f t="array" ref="G55">(VLOOKUP($B55,$E$8:$G$33,3,0)*(-(VLOOKUP(G$50,$E$8:$G$33,3,0))))/SUMPRODUCT(($G$8:$G$33&gt;0)*($G$8:$G$33))</f>
        <v>108119.72839392457</v>
      </c>
      <c r="H55" s="79" cm="1">
        <f t="array" ref="H55">(VLOOKUP($B55,$E$8:$G$33,3,0)*(-(VLOOKUP(H$50,$E$8:$G$33,3,0))))/SUMPRODUCT(($G$8:$G$33&gt;0)*($G$8:$G$33))</f>
        <v>91835.315191392161</v>
      </c>
      <c r="I55" s="79" cm="1">
        <f t="array" ref="I55">(VLOOKUP($B55,$E$8:$G$33,3,0)*(-(VLOOKUP(I$50,$E$8:$G$33,3,0))))/SUMPRODUCT(($G$8:$G$33&gt;0)*($G$8:$G$33))</f>
        <v>0</v>
      </c>
      <c r="J55" s="80">
        <f t="shared" si="1"/>
        <v>1062851.057807683</v>
      </c>
      <c r="K55" s="17"/>
      <c r="L55" s="17"/>
    </row>
    <row r="56" spans="2:13" x14ac:dyDescent="0.2">
      <c r="B56" s="78" t="s">
        <v>34</v>
      </c>
      <c r="C56" s="79" cm="1">
        <f t="array" ref="C56">(VLOOKUP($B56,$E$8:$G$33,3,0)*(-(VLOOKUP(C$50,$E$8:$G$33,3,0))))/SUMPRODUCT(($G$8:$G$33&gt;0)*($G$8:$G$33))</f>
        <v>273800.16839085537</v>
      </c>
      <c r="D56" s="79" cm="1">
        <f t="array" ref="D56">(VLOOKUP($B56,$E$8:$G$33,3,0)*(-(VLOOKUP(D$50,$E$8:$G$33,3,0))))/SUMPRODUCT(($G$8:$G$33&gt;0)*($G$8:$G$33))</f>
        <v>256626.67105051337</v>
      </c>
      <c r="E56" s="79" cm="1">
        <f t="array" ref="E56">(VLOOKUP($B56,$E$8:$G$33,3,0)*(-(VLOOKUP(E$50,$E$8:$G$33,3,0))))/SUMPRODUCT(($G$8:$G$33&gt;0)*($G$8:$G$33))</f>
        <v>6813.9310219922154</v>
      </c>
      <c r="F56" s="79" cm="1">
        <f t="array" ref="F56">(VLOOKUP($B56,$E$8:$G$33,3,0)*(-(VLOOKUP(F$50,$E$8:$G$33,3,0))))/SUMPRODUCT(($G$8:$G$33&gt;0)*($G$8:$G$33))</f>
        <v>511851.04324294248</v>
      </c>
      <c r="G56" s="79" cm="1">
        <f t="array" ref="G56">(VLOOKUP($B56,$E$8:$G$33,3,0)*(-(VLOOKUP(G$50,$E$8:$G$33,3,0))))/SUMPRODUCT(($G$8:$G$33&gt;0)*($G$8:$G$33))</f>
        <v>131449.8156077764</v>
      </c>
      <c r="H56" s="79" cm="1">
        <f t="array" ref="H56">(VLOOKUP($B56,$E$8:$G$33,3,0)*(-(VLOOKUP(H$50,$E$8:$G$33,3,0))))/SUMPRODUCT(($G$8:$G$33&gt;0)*($G$8:$G$33))</f>
        <v>111651.54988373851</v>
      </c>
      <c r="I56" s="79" cm="1">
        <f t="array" ref="I56">(VLOOKUP($B56,$E$8:$G$33,3,0)*(-(VLOOKUP(I$50,$E$8:$G$33,3,0))))/SUMPRODUCT(($G$8:$G$33&gt;0)*($G$8:$G$33))</f>
        <v>0</v>
      </c>
      <c r="J56" s="80">
        <f t="shared" si="1"/>
        <v>1292193.1791978185</v>
      </c>
      <c r="K56" s="17"/>
      <c r="L56" s="17"/>
    </row>
    <row r="57" spans="2:13" x14ac:dyDescent="0.2">
      <c r="B57" s="78" t="s">
        <v>35</v>
      </c>
      <c r="C57" s="79" cm="1">
        <f t="array" ref="C57">(VLOOKUP($B57,$E$8:$G$33,3,0)*(-(VLOOKUP(C$50,$E$8:$G$33,3,0))))/SUMPRODUCT(($G$8:$G$33&gt;0)*($G$8:$G$33))</f>
        <v>2316382.2225262234</v>
      </c>
      <c r="D57" s="79" cm="1">
        <f t="array" ref="D57">(VLOOKUP($B57,$E$8:$G$33,3,0)*(-(VLOOKUP(D$50,$E$8:$G$33,3,0))))/SUMPRODUCT(($G$8:$G$33&gt;0)*($G$8:$G$33))</f>
        <v>2171092.3778502252</v>
      </c>
      <c r="E57" s="79" cm="1">
        <f t="array" ref="E57">(VLOOKUP($B57,$E$8:$G$33,3,0)*(-(VLOOKUP(E$50,$E$8:$G$33,3,0))))/SUMPRODUCT(($G$8:$G$33&gt;0)*($G$8:$G$33))</f>
        <v>57646.672672352775</v>
      </c>
      <c r="F57" s="79" cm="1">
        <f t="array" ref="F57">(VLOOKUP($B57,$E$8:$G$33,3,0)*(-(VLOOKUP(F$50,$E$8:$G$33,3,0))))/SUMPRODUCT(($G$8:$G$33&gt;0)*($G$8:$G$33))</f>
        <v>4330321.1393826613</v>
      </c>
      <c r="G57" s="79" cm="1">
        <f t="array" ref="G57">(VLOOKUP($B57,$E$8:$G$33,3,0)*(-(VLOOKUP(G$50,$E$8:$G$33,3,0))))/SUMPRODUCT(($G$8:$G$33&gt;0)*($G$8:$G$33))</f>
        <v>1112081.1861355046</v>
      </c>
      <c r="H57" s="79" cm="1">
        <f t="array" ref="H57">(VLOOKUP($B57,$E$8:$G$33,3,0)*(-(VLOOKUP(H$50,$E$8:$G$33,3,0))))/SUMPRODUCT(($G$8:$G$33&gt;0)*($G$8:$G$33))</f>
        <v>944585.48651801934</v>
      </c>
      <c r="I57" s="79" cm="1">
        <f t="array" ref="I57">(VLOOKUP($B57,$E$8:$G$33,3,0)*(-(VLOOKUP(I$50,$E$8:$G$33,3,0))))/SUMPRODUCT(($G$8:$G$33&gt;0)*($G$8:$G$33))</f>
        <v>0</v>
      </c>
      <c r="J57" s="80">
        <f>SUM(C57:I57)</f>
        <v>10932109.085084988</v>
      </c>
      <c r="K57" s="17"/>
      <c r="L57" s="17"/>
    </row>
    <row r="58" spans="2:13" x14ac:dyDescent="0.2">
      <c r="B58" s="78" t="s">
        <v>36</v>
      </c>
      <c r="C58" s="79" cm="1">
        <f t="array" ref="C58">(VLOOKUP($B58,$E$8:$G$33,3,0)*(-(VLOOKUP(C$50,$E$8:$G$33,3,0))))/SUMPRODUCT(($G$8:$G$33&gt;0)*($G$8:$G$33))</f>
        <v>566156.03174083994</v>
      </c>
      <c r="D58" s="79" cm="1">
        <f t="array" ref="D58">(VLOOKUP($B58,$E$8:$G$33,3,0)*(-(VLOOKUP(D$50,$E$8:$G$33,3,0))))/SUMPRODUCT(($G$8:$G$33&gt;0)*($G$8:$G$33))</f>
        <v>530645.17299132922</v>
      </c>
      <c r="E58" s="79" cm="1">
        <f t="array" ref="E58">(VLOOKUP($B58,$E$8:$G$33,3,0)*(-(VLOOKUP(E$50,$E$8:$G$33,3,0))))/SUMPRODUCT(($G$8:$G$33&gt;0)*($G$8:$G$33))</f>
        <v>14089.648558798193</v>
      </c>
      <c r="F58" s="79" cm="1">
        <f t="array" ref="F58">(VLOOKUP($B58,$E$8:$G$33,3,0)*(-(VLOOKUP(F$50,$E$8:$G$33,3,0))))/SUMPRODUCT(($G$8:$G$33&gt;0)*($G$8:$G$33))</f>
        <v>1058390.7131538198</v>
      </c>
      <c r="G58" s="79" cm="1">
        <f t="array" ref="G58">(VLOOKUP($B58,$E$8:$G$33,3,0)*(-(VLOOKUP(G$50,$E$8:$G$33,3,0))))/SUMPRODUCT(($G$8:$G$33&gt;0)*($G$8:$G$33))</f>
        <v>271808.1088661938</v>
      </c>
      <c r="H58" s="79" cm="1">
        <f t="array" ref="H58">(VLOOKUP($B58,$E$8:$G$33,3,0)*(-(VLOOKUP(H$50,$E$8:$G$33,3,0))))/SUMPRODUCT(($G$8:$G$33&gt;0)*($G$8:$G$33))</f>
        <v>230869.83032696717</v>
      </c>
      <c r="I58" s="79" cm="1">
        <f t="array" ref="I58">(VLOOKUP($B58,$E$8:$G$33,3,0)*(-(VLOOKUP(I$50,$E$8:$G$33,3,0))))/SUMPRODUCT(($G$8:$G$33&gt;0)*($G$8:$G$33))</f>
        <v>0</v>
      </c>
      <c r="J58" s="80">
        <f>SUM(C58:I58)</f>
        <v>2671959.5056379484</v>
      </c>
      <c r="K58" s="17"/>
      <c r="L58" s="17"/>
    </row>
    <row r="59" spans="2:13" x14ac:dyDescent="0.2">
      <c r="B59" s="78" t="s">
        <v>37</v>
      </c>
      <c r="C59" s="79" cm="1">
        <f t="array" ref="C59">(VLOOKUP($B59,$E$8:$G$33,3,0)*(-(VLOOKUP(C$50,$E$8:$G$33,3,0))))/SUMPRODUCT(($G$8:$G$33&gt;0)*($G$8:$G$33))</f>
        <v>3437947.1041614129</v>
      </c>
      <c r="D59" s="79" cm="1">
        <f t="array" ref="D59">(VLOOKUP($B59,$E$8:$G$33,3,0)*(-(VLOOKUP(D$50,$E$8:$G$33,3,0))))/SUMPRODUCT(($G$8:$G$33&gt;0)*($G$8:$G$33))</f>
        <v>3222309.6347013162</v>
      </c>
      <c r="E59" s="79" cm="1">
        <f t="array" ref="E59">(VLOOKUP($B59,$E$8:$G$33,3,0)*(-(VLOOKUP(E$50,$E$8:$G$33,3,0))))/SUMPRODUCT(($G$8:$G$33&gt;0)*($G$8:$G$33))</f>
        <v>85558.509926015642</v>
      </c>
      <c r="F59" s="79" cm="1">
        <f t="array" ref="F59">(VLOOKUP($B59,$E$8:$G$33,3,0)*(-(VLOOKUP(F$50,$E$8:$G$33,3,0))))/SUMPRODUCT(($G$8:$G$33&gt;0)*($G$8:$G$33))</f>
        <v>6427011.4303474072</v>
      </c>
      <c r="G59" s="79" cm="1">
        <f t="array" ref="G59">(VLOOKUP($B59,$E$8:$G$33,3,0)*(-(VLOOKUP(G$50,$E$8:$G$33,3,0))))/SUMPRODUCT(($G$8:$G$33&gt;0)*($G$8:$G$33))</f>
        <v>1650537.7464420877</v>
      </c>
      <c r="H59" s="79" cm="1">
        <f t="array" ref="H59">(VLOOKUP($B59,$E$8:$G$33,3,0)*(-(VLOOKUP(H$50,$E$8:$G$33,3,0))))/SUMPRODUCT(($G$8:$G$33&gt;0)*($G$8:$G$33))</f>
        <v>1401942.6096552853</v>
      </c>
      <c r="I59" s="79" cm="1">
        <f t="array" ref="I59">(VLOOKUP($B59,$E$8:$G$33,3,0)*(-(VLOOKUP(I$50,$E$8:$G$33,3,0))))/SUMPRODUCT(($G$8:$G$33&gt;0)*($G$8:$G$33))</f>
        <v>0</v>
      </c>
      <c r="J59" s="80">
        <f>SUM(C59:I59)</f>
        <v>16225307.035233524</v>
      </c>
      <c r="K59" s="17"/>
      <c r="L59" s="17"/>
    </row>
    <row r="60" spans="2:13" x14ac:dyDescent="0.2">
      <c r="B60" s="78" t="s">
        <v>38</v>
      </c>
      <c r="C60" s="79" cm="1">
        <f t="array" ref="C60">(VLOOKUP($B60,$E$8:$G$33,3,0)*(-(VLOOKUP(C$50,$E$8:$G$33,3,0))))/SUMPRODUCT(($G$8:$G$33&gt;0)*($G$8:$G$33))</f>
        <v>200951.11100493176</v>
      </c>
      <c r="D60" s="79" cm="1">
        <f t="array" ref="D60">(VLOOKUP($B60,$E$8:$G$33,3,0)*(-(VLOOKUP(D$50,$E$8:$G$33,3,0))))/SUMPRODUCT(($G$8:$G$33&gt;0)*($G$8:$G$33))</f>
        <v>188346.90630095385</v>
      </c>
      <c r="E60" s="79" cm="1">
        <f t="array" ref="E60">(VLOOKUP($B60,$E$8:$G$33,3,0)*(-(VLOOKUP(E$50,$E$8:$G$33,3,0))))/SUMPRODUCT(($G$8:$G$33&gt;0)*($G$8:$G$33))</f>
        <v>5000.972122214509</v>
      </c>
      <c r="F60" s="79" cm="1">
        <f t="array" ref="F60">(VLOOKUP($B60,$E$8:$G$33,3,0)*(-(VLOOKUP(F$50,$E$8:$G$33,3,0))))/SUMPRODUCT(($G$8:$G$33&gt;0)*($G$8:$G$33))</f>
        <v>375664.61851795559</v>
      </c>
      <c r="G60" s="79" cm="1">
        <f t="array" ref="G60">(VLOOKUP($B60,$E$8:$G$33,3,0)*(-(VLOOKUP(G$50,$E$8:$G$33,3,0))))/SUMPRODUCT(($G$8:$G$33&gt;0)*($G$8:$G$33))</f>
        <v>96475.420899187156</v>
      </c>
      <c r="H60" s="79" cm="1">
        <f t="array" ref="H60">(VLOOKUP($B60,$E$8:$G$33,3,0)*(-(VLOOKUP(H$50,$E$8:$G$33,3,0))))/SUMPRODUCT(($G$8:$G$33&gt;0)*($G$8:$G$33))</f>
        <v>81944.810795482219</v>
      </c>
      <c r="I60" s="79" cm="1">
        <f t="array" ref="I60">(VLOOKUP($B60,$E$8:$G$33,3,0)*(-(VLOOKUP(I$50,$E$8:$G$33,3,0))))/SUMPRODUCT(($G$8:$G$33&gt;0)*($G$8:$G$33))</f>
        <v>0</v>
      </c>
      <c r="J60" s="80">
        <f>SUM(C60:I60)</f>
        <v>948383.83964072517</v>
      </c>
      <c r="K60" s="17"/>
      <c r="L60" s="17"/>
    </row>
    <row r="61" spans="2:13" x14ac:dyDescent="0.2">
      <c r="B61" s="78" t="s">
        <v>39</v>
      </c>
      <c r="C61" s="79" cm="1">
        <f t="array" ref="C61">(VLOOKUP($B61,$E$8:$G$33,3,0)*(-(VLOOKUP(C$50,$E$8:$G$33,3,0))))/SUMPRODUCT(($G$8:$G$33&gt;0)*($G$8:$G$33))</f>
        <v>3816306.1771877091</v>
      </c>
      <c r="D61" s="79" cm="1">
        <f t="array" ref="D61">(VLOOKUP($B61,$E$8:$G$33,3,0)*(-(VLOOKUP(D$50,$E$8:$G$33,3,0))))/SUMPRODUCT(($G$8:$G$33&gt;0)*($G$8:$G$33))</f>
        <v>3576936.9891808368</v>
      </c>
      <c r="E61" s="79" cm="1">
        <f t="array" ref="E61">(VLOOKUP($B61,$E$8:$G$33,3,0)*(-(VLOOKUP(E$50,$E$8:$G$33,3,0))))/SUMPRODUCT(($G$8:$G$33&gt;0)*($G$8:$G$33))</f>
        <v>94974.547324012383</v>
      </c>
      <c r="F61" s="79" cm="1">
        <f t="array" ref="F61">(VLOOKUP($B61,$E$8:$G$33,3,0)*(-(VLOOKUP(F$50,$E$8:$G$33,3,0))))/SUMPRODUCT(($G$8:$G$33&gt;0)*($G$8:$G$33))</f>
        <v>7134328.3300670739</v>
      </c>
      <c r="G61" s="79" cm="1">
        <f t="array" ref="G61">(VLOOKUP($B61,$E$8:$G$33,3,0)*(-(VLOOKUP(G$50,$E$8:$G$33,3,0))))/SUMPRODUCT(($G$8:$G$33&gt;0)*($G$8:$G$33))</f>
        <v>1832185.6638817796</v>
      </c>
      <c r="H61" s="79" cm="1">
        <f t="array" ref="H61">(VLOOKUP($B61,$E$8:$G$33,3,0)*(-(VLOOKUP(H$50,$E$8:$G$33,3,0))))/SUMPRODUCT(($G$8:$G$33&gt;0)*($G$8:$G$33))</f>
        <v>1556231.6926906756</v>
      </c>
      <c r="I61" s="79" cm="1">
        <f t="array" ref="I61">(VLOOKUP($B61,$E$8:$G$33,3,0)*(-(VLOOKUP(I$50,$E$8:$G$33,3,0))))/SUMPRODUCT(($G$8:$G$33&gt;0)*($G$8:$G$33))</f>
        <v>0</v>
      </c>
      <c r="J61" s="80">
        <f>SUM(C61:I61)</f>
        <v>18010963.400332086</v>
      </c>
      <c r="K61" s="17"/>
      <c r="L61" s="17"/>
    </row>
    <row r="62" spans="2:13" x14ac:dyDescent="0.2">
      <c r="B62" s="78" t="s">
        <v>40</v>
      </c>
      <c r="C62" s="79" cm="1">
        <f t="array" ref="C62">(VLOOKUP($B62,$E$8:$G$33,3,0)*(-(VLOOKUP(C$50,$E$8:$G$33,3,0))))/SUMPRODUCT(($G$8:$G$33&gt;0)*($G$8:$G$33))</f>
        <v>81652.825326374252</v>
      </c>
      <c r="D62" s="79" cm="1">
        <f t="array" ref="D62">(VLOOKUP($B62,$E$8:$G$33,3,0)*(-(VLOOKUP(D$50,$E$8:$G$33,3,0))))/SUMPRODUCT(($G$8:$G$33&gt;0)*($G$8:$G$33))</f>
        <v>76531.33622424872</v>
      </c>
      <c r="E62" s="79" cm="1">
        <f t="array" ref="E62">(VLOOKUP($B62,$E$8:$G$33,3,0)*(-(VLOOKUP(E$50,$E$8:$G$33,3,0))))/SUMPRODUCT(($G$8:$G$33&gt;0)*($G$8:$G$33))</f>
        <v>2032.0539713125884</v>
      </c>
      <c r="F62" s="79" cm="1">
        <f t="array" ref="F62">(VLOOKUP($B62,$E$8:$G$33,3,0)*(-(VLOOKUP(F$50,$E$8:$G$33,3,0))))/SUMPRODUCT(($G$8:$G$33&gt;0)*($G$8:$G$33))</f>
        <v>152644.47817057767</v>
      </c>
      <c r="G62" s="79" cm="1">
        <f t="array" ref="G62">(VLOOKUP($B62,$E$8:$G$33,3,0)*(-(VLOOKUP(G$50,$E$8:$G$33,3,0))))/SUMPRODUCT(($G$8:$G$33&gt;0)*($G$8:$G$33))</f>
        <v>39201.030795875682</v>
      </c>
      <c r="H62" s="79" cm="1">
        <f t="array" ref="H62">(VLOOKUP($B62,$E$8:$G$33,3,0)*(-(VLOOKUP(H$50,$E$8:$G$33,3,0))))/SUMPRODUCT(($G$8:$G$33&gt;0)*($G$8:$G$33))</f>
        <v>33296.781932805949</v>
      </c>
      <c r="I62" s="79" cm="1">
        <f t="array" ref="I62">(VLOOKUP($B62,$E$8:$G$33,3,0)*(-(VLOOKUP(I$50,$E$8:$G$33,3,0))))/SUMPRODUCT(($G$8:$G$33&gt;0)*($G$8:$G$33))</f>
        <v>0</v>
      </c>
      <c r="J62" s="80">
        <f t="shared" ref="J62:J65" si="2">SUM(C62:I62)</f>
        <v>385358.50642119488</v>
      </c>
      <c r="K62" s="17"/>
      <c r="L62" s="17"/>
    </row>
    <row r="63" spans="2:13" x14ac:dyDescent="0.2">
      <c r="B63" s="78" t="s">
        <v>41</v>
      </c>
      <c r="C63" s="79" cm="1">
        <f t="array" ref="C63">(VLOOKUP($B63,$E$8:$G$33,3,0)*(-(VLOOKUP(C$50,$E$8:$G$33,3,0))))/SUMPRODUCT(($G$8:$G$33&gt;0)*($G$8:$G$33))</f>
        <v>221852.96793102438</v>
      </c>
      <c r="D63" s="79" cm="1">
        <f t="array" ref="D63">(VLOOKUP($B63,$E$8:$G$33,3,0)*(-(VLOOKUP(D$50,$E$8:$G$33,3,0))))/SUMPRODUCT(($G$8:$G$33&gt;0)*($G$8:$G$33))</f>
        <v>207937.74144631461</v>
      </c>
      <c r="E63" s="79" cm="1">
        <f t="array" ref="E63">(VLOOKUP($B63,$E$8:$G$33,3,0)*(-(VLOOKUP(E$50,$E$8:$G$33,3,0))))/SUMPRODUCT(($G$8:$G$33&gt;0)*($G$8:$G$33))</f>
        <v>5521.1464236511401</v>
      </c>
      <c r="F63" s="79" cm="1">
        <f t="array" ref="F63">(VLOOKUP($B63,$E$8:$G$33,3,0)*(-(VLOOKUP(F$50,$E$8:$G$33,3,0))))/SUMPRODUCT(($G$8:$G$33&gt;0)*($G$8:$G$33))</f>
        <v>414739.23755932407</v>
      </c>
      <c r="G63" s="79" cm="1">
        <f t="array" ref="G63">(VLOOKUP($B63,$E$8:$G$33,3,0)*(-(VLOOKUP(G$50,$E$8:$G$33,3,0))))/SUMPRODUCT(($G$8:$G$33&gt;0)*($G$8:$G$33))</f>
        <v>106510.27681232456</v>
      </c>
      <c r="H63" s="79" cm="1">
        <f t="array" ref="H63">(VLOOKUP($B63,$E$8:$G$33,3,0)*(-(VLOOKUP(H$50,$E$8:$G$33,3,0))))/SUMPRODUCT(($G$8:$G$33&gt;0)*($G$8:$G$33))</f>
        <v>90468.270568943539</v>
      </c>
      <c r="I63" s="79" cm="1">
        <f t="array" ref="I63">(VLOOKUP($B63,$E$8:$G$33,3,0)*(-(VLOOKUP(I$50,$E$8:$G$33,3,0))))/SUMPRODUCT(($G$8:$G$33&gt;0)*($G$8:$G$33))</f>
        <v>0</v>
      </c>
      <c r="J63" s="80">
        <f t="shared" si="2"/>
        <v>1047029.6407415823</v>
      </c>
      <c r="K63" s="17"/>
      <c r="L63" s="17"/>
    </row>
    <row r="64" spans="2:13" x14ac:dyDescent="0.2">
      <c r="B64" s="78" t="s">
        <v>42</v>
      </c>
      <c r="C64" s="79" cm="1">
        <f t="array" ref="C64">(VLOOKUP($B64,$E$8:$G$33,3,0)*(-(VLOOKUP(C$50,$E$8:$G$33,3,0))))/SUMPRODUCT(($G$8:$G$33&gt;0)*($G$8:$G$33))</f>
        <v>277820.96260771214</v>
      </c>
      <c r="D64" s="79" cm="1">
        <f t="array" ref="D64">(VLOOKUP($B64,$E$8:$G$33,3,0)*(-(VLOOKUP(D$50,$E$8:$G$33,3,0))))/SUMPRODUCT(($G$8:$G$33&gt;0)*($G$8:$G$33))</f>
        <v>260395.27002879491</v>
      </c>
      <c r="E64" s="79" cm="1">
        <f t="array" ref="E64">(VLOOKUP($B64,$E$8:$G$33,3,0)*(-(VLOOKUP(E$50,$E$8:$G$33,3,0))))/SUMPRODUCT(($G$8:$G$33&gt;0)*($G$8:$G$33))</f>
        <v>6913.9945632540912</v>
      </c>
      <c r="F64" s="79" cm="1">
        <f t="array" ref="F64">(VLOOKUP($B64,$E$8:$G$33,3,0)*(-(VLOOKUP(F$50,$E$8:$G$33,3,0))))/SUMPRODUCT(($G$8:$G$33&gt;0)*($G$8:$G$33))</f>
        <v>519367.64824234264</v>
      </c>
      <c r="G64" s="79" cm="1">
        <f t="array" ref="G64">(VLOOKUP($B64,$E$8:$G$33,3,0)*(-(VLOOKUP(G$50,$E$8:$G$33,3,0))))/SUMPRODUCT(($G$8:$G$33&gt;0)*($G$8:$G$33))</f>
        <v>133380.17475075595</v>
      </c>
      <c r="H64" s="79" cm="1">
        <f t="array" ref="H64">(VLOOKUP($B64,$E$8:$G$33,3,0)*(-(VLOOKUP(H$50,$E$8:$G$33,3,0))))/SUMPRODUCT(($G$8:$G$33&gt;0)*($G$8:$G$33))</f>
        <v>113291.16869301102</v>
      </c>
      <c r="I64" s="79" cm="1">
        <f t="array" ref="I64">(VLOOKUP($B64,$E$8:$G$33,3,0)*(-(VLOOKUP(I$50,$E$8:$G$33,3,0))))/SUMPRODUCT(($G$8:$G$33&gt;0)*($G$8:$G$33))</f>
        <v>0</v>
      </c>
      <c r="J64" s="80">
        <f t="shared" si="2"/>
        <v>1311169.2188858707</v>
      </c>
      <c r="K64" s="17"/>
      <c r="L64" s="17"/>
    </row>
    <row r="65" spans="2:17" x14ac:dyDescent="0.2">
      <c r="B65" s="78" t="s">
        <v>43</v>
      </c>
      <c r="C65" s="79" cm="1">
        <f t="array" ref="C65">(VLOOKUP($B65,$E$8:$G$33,3,0)*(-(VLOOKUP(C$50,$E$8:$G$33,3,0))))/SUMPRODUCT(($G$8:$G$33&gt;0)*($G$8:$G$33))</f>
        <v>385111.15753141127</v>
      </c>
      <c r="D65" s="79" cm="1">
        <f t="array" ref="D65">(VLOOKUP($B65,$E$8:$G$33,3,0)*(-(VLOOKUP(D$50,$E$8:$G$33,3,0))))/SUMPRODUCT(($G$8:$G$33&gt;0)*($G$8:$G$33))</f>
        <v>360955.92972979601</v>
      </c>
      <c r="E65" s="79" cm="1">
        <f t="array" ref="E65">(VLOOKUP($B65,$E$8:$G$33,3,0)*(-(VLOOKUP(E$50,$E$8:$G$33,3,0))))/SUMPRODUCT(($G$8:$G$33&gt;0)*($G$8:$G$33))</f>
        <v>9584.0732262539277</v>
      </c>
      <c r="F65" s="79" cm="1">
        <f t="array" ref="F65">(VLOOKUP($B65,$E$8:$G$33,3,0)*(-(VLOOKUP(F$50,$E$8:$G$33,3,0))))/SUMPRODUCT(($G$8:$G$33&gt;0)*($G$8:$G$33))</f>
        <v>719939.46864765196</v>
      </c>
      <c r="G65" s="79" cm="1">
        <f t="array" ref="G65">(VLOOKUP($B65,$E$8:$G$33,3,0)*(-(VLOOKUP(G$50,$E$8:$G$33,3,0))))/SUMPRODUCT(($G$8:$G$33&gt;0)*($G$8:$G$33))</f>
        <v>184889.55263802563</v>
      </c>
      <c r="H65" s="79" cm="1">
        <f t="array" ref="H65">(VLOOKUP($B65,$E$8:$G$33,3,0)*(-(VLOOKUP(H$50,$E$8:$G$33,3,0))))/SUMPRODUCT(($G$8:$G$33&gt;0)*($G$8:$G$33))</f>
        <v>157042.48053829442</v>
      </c>
      <c r="I65" s="79" cm="1">
        <f t="array" ref="I65">(VLOOKUP($B65,$E$8:$G$33,3,0)*(-(VLOOKUP(I$50,$E$8:$G$33,3,0))))/SUMPRODUCT(($G$8:$G$33&gt;0)*($G$8:$G$33))</f>
        <v>0</v>
      </c>
      <c r="J65" s="80">
        <f t="shared" si="2"/>
        <v>1817522.6623114333</v>
      </c>
      <c r="K65" s="17"/>
      <c r="L65" s="17"/>
    </row>
    <row r="66" spans="2:17" x14ac:dyDescent="0.2">
      <c r="B66" s="78" t="s">
        <v>45</v>
      </c>
      <c r="C66" s="79" cm="1">
        <f t="array" ref="C66">(VLOOKUP($B66,$E$8:$G$33,3,0)*(-(VLOOKUP(C$50,$E$8:$G$33,3,0))))/SUMPRODUCT(($G$8:$G$33&gt;0)*($G$8:$G$33))</f>
        <v>34450.56063335311</v>
      </c>
      <c r="D66" s="79" cm="1">
        <f t="array" ref="D66">(VLOOKUP($B66,$E$8:$G$33,3,0)*(-(VLOOKUP(D$50,$E$8:$G$33,3,0))))/SUMPRODUCT(($G$8:$G$33&gt;0)*($G$8:$G$33))</f>
        <v>32289.727004625725</v>
      </c>
      <c r="E66" s="79" cm="1">
        <f t="array" ref="E66">(VLOOKUP($B66,$E$8:$G$33,3,0)*(-(VLOOKUP(E$50,$E$8:$G$33,3,0))))/SUMPRODUCT(($G$8:$G$33&gt;0)*($G$8:$G$33))</f>
        <v>857.35427119798908</v>
      </c>
      <c r="F66" s="79" cm="1">
        <f t="array" ref="F66">(VLOOKUP($B66,$E$8:$G$33,3,0)*(-(VLOOKUP(F$50,$E$8:$G$33,3,0))))/SUMPRODUCT(($G$8:$G$33&gt;0)*($G$8:$G$33))</f>
        <v>64403.0115252295</v>
      </c>
      <c r="G66" s="79" cm="1">
        <f t="array" ref="G66">(VLOOKUP($B66,$E$8:$G$33,3,0)*(-(VLOOKUP(G$50,$E$8:$G$33,3,0))))/SUMPRODUCT(($G$8:$G$33&gt;0)*($G$8:$G$33))</f>
        <v>16539.507150244812</v>
      </c>
      <c r="H66" s="79" cm="1">
        <f t="array" ref="H66">(VLOOKUP($B66,$E$8:$G$33,3,0)*(-(VLOOKUP(H$50,$E$8:$G$33,3,0))))/SUMPRODUCT(($G$8:$G$33&gt;0)*($G$8:$G$33))</f>
        <v>14048.415352275033</v>
      </c>
      <c r="I66" s="79" cm="1">
        <f t="array" ref="I66">(VLOOKUP($B66,$E$8:$G$33,3,0)*(-(VLOOKUP(I$50,$E$8:$G$33,3,0))))/SUMPRODUCT(($G$8:$G$33&gt;0)*($G$8:$G$33))</f>
        <v>0</v>
      </c>
      <c r="J66" s="80">
        <f>SUM(C66:I66)</f>
        <v>162588.57593692618</v>
      </c>
      <c r="K66" s="17"/>
      <c r="L66" s="17"/>
    </row>
    <row r="67" spans="2:17" x14ac:dyDescent="0.2">
      <c r="B67" s="78" t="s">
        <v>50</v>
      </c>
      <c r="C67" s="79" cm="1">
        <f t="array" ref="C67">(VLOOKUP($B67,$E$8:$G$33,3,0)*(-(VLOOKUP(C$50,$E$8:$G$33,3,0))))/SUMPRODUCT(($G$8:$G$33&gt;0)*($G$8:$G$33))</f>
        <v>188.22778870887461</v>
      </c>
      <c r="D67" s="79" cm="1">
        <f t="array" ref="D67">(VLOOKUP($B67,$E$8:$G$33,3,0)*(-(VLOOKUP(D$50,$E$8:$G$33,3,0))))/SUMPRODUCT(($G$8:$G$33&gt;0)*($G$8:$G$33))</f>
        <v>176.42162566752901</v>
      </c>
      <c r="E67" s="79" cm="1">
        <f t="array" ref="E67">(VLOOKUP($B67,$E$8:$G$33,3,0)*(-(VLOOKUP(E$50,$E$8:$G$33,3,0))))/SUMPRODUCT(($G$8:$G$33&gt;0)*($G$8:$G$33))</f>
        <v>4.68433301638259</v>
      </c>
      <c r="F67" s="79" cm="1">
        <f t="array" ref="F67">(VLOOKUP($B67,$E$8:$G$33,3,0)*(-(VLOOKUP(F$50,$E$8:$G$33,3,0))))/SUMPRODUCT(($G$8:$G$33&gt;0)*($G$8:$G$33))</f>
        <v>351.87922120053531</v>
      </c>
      <c r="G67" s="79" cm="1">
        <f t="array" ref="G67">(VLOOKUP($B67,$E$8:$G$33,3,0)*(-(VLOOKUP(G$50,$E$8:$G$33,3,0))))/SUMPRODUCT(($G$8:$G$33&gt;0)*($G$8:$G$33))</f>
        <v>90.367030317967604</v>
      </c>
      <c r="H67" s="79" cm="1">
        <f t="array" ref="H67">(VLOOKUP($B67,$E$8:$G$33,3,0)*(-(VLOOKUP(H$50,$E$8:$G$33,3,0))))/SUMPRODUCT(($G$8:$G$33&gt;0)*($G$8:$G$33))</f>
        <v>76.756433219332578</v>
      </c>
      <c r="I67" s="79" cm="1">
        <f t="array" ref="I67">(VLOOKUP($B67,$E$8:$G$33,3,0)*(-(VLOOKUP(I$50,$E$8:$G$33,3,0))))/SUMPRODUCT(($G$8:$G$33&gt;0)*($G$8:$G$33))</f>
        <v>0</v>
      </c>
      <c r="J67" s="80">
        <f>SUM(C67:I67)</f>
        <v>888.3364321306218</v>
      </c>
      <c r="K67" s="17"/>
      <c r="L67" s="17"/>
    </row>
    <row r="68" spans="2:17" x14ac:dyDescent="0.2">
      <c r="B68" s="78" t="s">
        <v>51</v>
      </c>
      <c r="C68" s="79" cm="1">
        <f t="array" ref="C68">(VLOOKUP($B68,$E$8:$G$33,3,0)*(-(VLOOKUP(C$50,$E$8:$G$33,3,0))))/SUMPRODUCT(($G$8:$G$33&gt;0)*($G$8:$G$33))</f>
        <v>1019.245742015793</v>
      </c>
      <c r="D68" s="79" cm="1">
        <f t="array" ref="D68">(VLOOKUP($B68,$E$8:$G$33,3,0)*(-(VLOOKUP(D$50,$E$8:$G$33,3,0))))/SUMPRODUCT(($G$8:$G$33&gt;0)*($G$8:$G$33))</f>
        <v>955.31585423473132</v>
      </c>
      <c r="E68" s="79" cm="1">
        <f t="array" ref="E68">(VLOOKUP($B68,$E$8:$G$33,3,0)*(-(VLOOKUP(E$50,$E$8:$G$33,3,0))))/SUMPRODUCT(($G$8:$G$33&gt;0)*($G$8:$G$33))</f>
        <v>25.365470815345354</v>
      </c>
      <c r="F68" s="79" cm="1">
        <f t="array" ref="F68">(VLOOKUP($B68,$E$8:$G$33,3,0)*(-(VLOOKUP(F$50,$E$8:$G$33,3,0))))/SUMPRODUCT(($G$8:$G$33&gt;0)*($G$8:$G$33))</f>
        <v>1905.4115249007821</v>
      </c>
      <c r="G68" s="79" cm="1">
        <f t="array" ref="G68">(VLOOKUP($B68,$E$8:$G$33,3,0)*(-(VLOOKUP(G$50,$E$8:$G$33,3,0))))/SUMPRODUCT(($G$8:$G$33&gt;0)*($G$8:$G$33))</f>
        <v>489.33375620035588</v>
      </c>
      <c r="H68" s="79" cm="1">
        <f t="array" ref="H68">(VLOOKUP($B68,$E$8:$G$33,3,0)*(-(VLOOKUP(H$50,$E$8:$G$33,3,0))))/SUMPRODUCT(($G$8:$G$33&gt;0)*($G$8:$G$33))</f>
        <v>415.63293213907747</v>
      </c>
      <c r="I68" s="79" cm="1">
        <f t="array" ref="I68">(VLOOKUP($B68,$E$8:$G$33,3,0)*(-(VLOOKUP(I$50,$E$8:$G$33,3,0))))/SUMPRODUCT(($G$8:$G$33&gt;0)*($G$8:$G$33))</f>
        <v>0</v>
      </c>
      <c r="J68" s="80">
        <f>SUM(C68:I68)</f>
        <v>4810.3052803060855</v>
      </c>
      <c r="K68" s="17"/>
      <c r="L68" s="17"/>
    </row>
    <row r="69" spans="2:17" x14ac:dyDescent="0.2">
      <c r="B69" s="7" t="s">
        <v>52</v>
      </c>
      <c r="C69" s="82">
        <f t="shared" ref="C69:J69" si="3">SUM(C51:C68)</f>
        <v>37709062.676530473</v>
      </c>
      <c r="D69" s="82">
        <f t="shared" si="3"/>
        <v>35343846.864618599</v>
      </c>
      <c r="E69" s="82">
        <f t="shared" si="3"/>
        <v>938447.01956159039</v>
      </c>
      <c r="F69" s="82">
        <f t="shared" si="3"/>
        <v>70494562.454550609</v>
      </c>
      <c r="G69" s="82">
        <f t="shared" si="3"/>
        <v>18103894.40117513</v>
      </c>
      <c r="H69" s="82">
        <f t="shared" si="3"/>
        <v>15377182.991675191</v>
      </c>
      <c r="I69" s="82">
        <f t="shared" si="3"/>
        <v>0</v>
      </c>
      <c r="J69" s="82">
        <f t="shared" si="3"/>
        <v>177966996.4081116</v>
      </c>
      <c r="K69" s="17"/>
      <c r="L69" s="83"/>
    </row>
    <row r="70" spans="2:17" x14ac:dyDescent="0.2">
      <c r="B70"/>
      <c r="C70" s="17"/>
      <c r="D70" s="17"/>
      <c r="E70" s="17"/>
      <c r="F70" s="17"/>
      <c r="G70" s="17"/>
      <c r="H70" s="17"/>
      <c r="K70" s="83"/>
      <c r="Q70" s="17"/>
    </row>
    <row r="71" spans="2:17" x14ac:dyDescent="0.2">
      <c r="B71" s="19"/>
      <c r="C71" s="83"/>
      <c r="D71" s="83"/>
      <c r="E71" s="83"/>
      <c r="F71" s="83"/>
      <c r="G71" s="83"/>
      <c r="H71" s="83"/>
      <c r="J71" s="84">
        <f t="array" ref="J71">-SUMPRODUCT(($G$8:$G$33&lt;0)*($G$8:$G$33))</f>
        <v>177966996.4081116</v>
      </c>
    </row>
    <row r="72" spans="2:17" x14ac:dyDescent="0.2">
      <c r="B72"/>
      <c r="C72"/>
      <c r="D72"/>
      <c r="E72"/>
      <c r="F72"/>
      <c r="G72"/>
      <c r="H72"/>
      <c r="J72" s="85">
        <f>J69-J71</f>
        <v>0</v>
      </c>
    </row>
    <row r="73" spans="2:17" x14ac:dyDescent="0.2">
      <c r="B73"/>
      <c r="C73"/>
      <c r="D73"/>
      <c r="E73"/>
      <c r="F73"/>
      <c r="G73"/>
      <c r="H73"/>
      <c r="J73" s="85">
        <f>J69-J6</f>
        <v>0</v>
      </c>
    </row>
  </sheetData>
  <mergeCells count="9">
    <mergeCell ref="J6:J7"/>
    <mergeCell ref="B49:B50"/>
    <mergeCell ref="C49:I49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1D07-6C15-4A99-A0C3-26BFC3017462}">
  <sheetPr codeName="Hoja7">
    <tabColor theme="9" tint="0.59999389629810485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20" customWidth="1"/>
    <col min="2" max="2" width="24.85546875" style="20" customWidth="1"/>
    <col min="3" max="3" width="11.5703125" style="20" bestFit="1" customWidth="1"/>
    <col min="4" max="4" width="13.140625" style="20" bestFit="1" customWidth="1"/>
    <col min="5" max="5" width="12.5703125" style="20" customWidth="1"/>
    <col min="6" max="6" width="12.28515625" style="20" customWidth="1"/>
    <col min="7" max="7" width="14" style="20" customWidth="1"/>
    <col min="8" max="8" width="13.7109375" style="20" customWidth="1"/>
    <col min="9" max="9" width="13" style="20" customWidth="1"/>
    <col min="10" max="10" width="12.5703125" style="20" customWidth="1"/>
    <col min="11" max="11" width="12.140625" style="20" customWidth="1"/>
    <col min="12" max="12" width="13.140625" style="20" bestFit="1" customWidth="1"/>
    <col min="13" max="13" width="13.5703125" style="20" customWidth="1"/>
    <col min="14" max="14" width="13.140625" style="20" bestFit="1" customWidth="1"/>
    <col min="15" max="15" width="19.140625" style="20" customWidth="1"/>
    <col min="16" max="16" width="13.5703125" style="20" customWidth="1"/>
    <col min="17" max="17" width="12.42578125" style="20" bestFit="1" customWidth="1"/>
    <col min="18" max="18" width="23.85546875" style="20" customWidth="1"/>
    <col min="19" max="16384" width="11.42578125" style="20"/>
  </cols>
  <sheetData>
    <row r="2" spans="2:17" x14ac:dyDescent="0.2">
      <c r="B2" s="19" t="s">
        <v>87</v>
      </c>
      <c r="C2" s="19"/>
      <c r="D2" s="19"/>
    </row>
    <row r="3" spans="2:17" x14ac:dyDescent="0.2">
      <c r="B3" s="21">
        <f>FechaFacturacion</f>
        <v>45717</v>
      </c>
      <c r="C3" s="22"/>
      <c r="D3" s="22"/>
      <c r="I3" s="23" t="s">
        <v>57</v>
      </c>
      <c r="J3" s="24"/>
      <c r="K3" s="24"/>
    </row>
    <row r="4" spans="2:17" x14ac:dyDescent="0.2">
      <c r="B4" s="25"/>
      <c r="D4" s="22"/>
      <c r="I4" s="26">
        <f>'Reliquidación TD'!$I$4</f>
        <v>5.0391937290035216E-3</v>
      </c>
      <c r="J4" s="27"/>
      <c r="K4" s="27"/>
    </row>
    <row r="6" spans="2:17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54</v>
      </c>
      <c r="H6" s="29" t="str">
        <f>"Saldo "&amp;TEXT(B3-1,"mmmmmmmmmm")</f>
        <v>Saldo febrero</v>
      </c>
      <c r="I6" s="29" t="s">
        <v>58</v>
      </c>
      <c r="J6" s="29" t="s">
        <v>59</v>
      </c>
      <c r="K6" s="29" t="s">
        <v>60</v>
      </c>
      <c r="L6" s="30" t="s">
        <v>88</v>
      </c>
      <c r="M6" s="29" t="s">
        <v>89</v>
      </c>
      <c r="N6" s="31" t="s">
        <v>90</v>
      </c>
      <c r="O6" s="29" t="s">
        <v>64</v>
      </c>
      <c r="P6" s="29" t="s">
        <v>65</v>
      </c>
    </row>
    <row r="7" spans="2:17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7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7" x14ac:dyDescent="0.2">
      <c r="B9" s="40" t="s">
        <v>14</v>
      </c>
      <c r="C9" s="41">
        <f>SUMIF('Entrada CDRGL'!$E$8:$E$43,'Reliquidación CD RGL'!$B9,'Entrada CDRGL'!F$8:F$43)</f>
        <v>5156215</v>
      </c>
      <c r="D9" s="41">
        <f>SUMIF('Entrada CDRGL'!$E$8:$E$43,'Reliquidación CD RGL'!$B9,'Entrada CDRGL'!G$8:G$43)</f>
        <v>3378140</v>
      </c>
      <c r="E9" s="41">
        <f>SUMIF('Entrada CDRGL'!$E$8:$E$43,'Reliquidación CD RGL'!$B9,'Entrada CDRGL'!H$8:H$43)</f>
        <v>178359</v>
      </c>
      <c r="F9" s="41">
        <f>SUMIF('Entrada CDRGL'!$E$8:$E$43,'Reliquidación CD RGL'!$B9,'Entrada CDRGL'!I$8:I$43)</f>
        <v>51193</v>
      </c>
      <c r="G9" s="41">
        <f>SUMIF('Entrada CDRGL'!$E$8:$E$43,'Reliquidación CD RGL'!$B9,'Entrada CDRGL'!J$8:J$43)</f>
        <v>-2489089.5877014678</v>
      </c>
      <c r="H9" s="41">
        <v>0</v>
      </c>
      <c r="I9" s="41">
        <f t="shared" ref="I9:I43" si="0">H9*($I$4+1)</f>
        <v>0</v>
      </c>
      <c r="J9" s="41">
        <v>0</v>
      </c>
      <c r="K9" s="41">
        <f>+J9*($I$4+1)</f>
        <v>0</v>
      </c>
      <c r="L9" s="41">
        <f>G9+I9+K9</f>
        <v>-2489089.5877014678</v>
      </c>
      <c r="M9" s="41">
        <f>IF(L9&lt;0,-L9,0)</f>
        <v>2489089.5877014678</v>
      </c>
      <c r="N9" s="41">
        <f>IF(L9&gt;0,L9,0)</f>
        <v>0</v>
      </c>
      <c r="O9" s="41">
        <f t="shared" ref="O9:O42" si="1">IF(OR($M$44=0,$N$44=0),0,((M9/$M$44-N9/$N$44)*$N$49))</f>
        <v>2489089.5877014678</v>
      </c>
      <c r="P9" s="41">
        <f>L9+O9</f>
        <v>0</v>
      </c>
      <c r="Q9" s="86"/>
    </row>
    <row r="10" spans="2:17" x14ac:dyDescent="0.2">
      <c r="B10" s="42" t="s">
        <v>15</v>
      </c>
      <c r="C10" s="43">
        <f>SUMIF('Entrada CDRGL'!$E$8:$E$43,'Reliquidación CD RGL'!$B10,'Entrada CDRGL'!F$8:F$43)</f>
        <v>1096154</v>
      </c>
      <c r="D10" s="43">
        <f>SUMIF('Entrada CDRGL'!$E$8:$E$43,'Reliquidación CD RGL'!$B10,'Entrada CDRGL'!G$8:G$43)</f>
        <v>4377593</v>
      </c>
      <c r="E10" s="43">
        <f>SUMIF('Entrada CDRGL'!$E$8:$E$43,'Reliquidación CD RGL'!$B10,'Entrada CDRGL'!H$8:H$43)</f>
        <v>1652</v>
      </c>
      <c r="F10" s="43">
        <f>SUMIF('Entrada CDRGL'!$E$8:$E$43,'Reliquidación CD RGL'!$B10,'Entrada CDRGL'!I$8:I$43)</f>
        <v>29639</v>
      </c>
      <c r="G10" s="43">
        <f>SUMIF('Entrada CDRGL'!$E$8:$E$43,'Reliquidación CD RGL'!$B10,'Entrada CDRGL'!J$8:J$43)</f>
        <v>-23032036.912148882</v>
      </c>
      <c r="H10" s="43">
        <v>0</v>
      </c>
      <c r="I10" s="43">
        <f t="shared" si="0"/>
        <v>0</v>
      </c>
      <c r="J10" s="43">
        <v>0</v>
      </c>
      <c r="K10" s="43">
        <f t="shared" ref="K10:K43" si="2">+J10*($I$4+1)</f>
        <v>0</v>
      </c>
      <c r="L10" s="43">
        <f t="shared" ref="L10:L43" si="3">G10+I10+K10</f>
        <v>-23032036.912148882</v>
      </c>
      <c r="M10" s="43">
        <f t="shared" ref="M10:M43" si="4">IF(L10&lt;0,-L10,0)</f>
        <v>23032036.912148882</v>
      </c>
      <c r="N10" s="43">
        <f>IF(L10&gt;0,L10,0)</f>
        <v>0</v>
      </c>
      <c r="O10" s="43">
        <f t="shared" si="1"/>
        <v>23032036.912148882</v>
      </c>
      <c r="P10" s="43">
        <f t="shared" ref="P10:P43" si="5">L10+O10</f>
        <v>0</v>
      </c>
      <c r="Q10" s="86"/>
    </row>
    <row r="11" spans="2:17" x14ac:dyDescent="0.2">
      <c r="B11" s="42" t="s">
        <v>16</v>
      </c>
      <c r="C11" s="43">
        <f>SUMIF('Entrada CDRGL'!$E$8:$E$43,'Reliquidación CD RGL'!$B11,'Entrada CDRGL'!F$8:F$43)</f>
        <v>1794659.36</v>
      </c>
      <c r="D11" s="43">
        <f>SUMIF('Entrada CDRGL'!$E$8:$E$43,'Reliquidación CD RGL'!$B11,'Entrada CDRGL'!G$8:G$43)</f>
        <v>5969691.0329999998</v>
      </c>
      <c r="E11" s="43">
        <f>SUMIF('Entrada CDRGL'!$E$8:$E$43,'Reliquidación CD RGL'!$B11,'Entrada CDRGL'!H$8:H$43)</f>
        <v>0</v>
      </c>
      <c r="F11" s="43">
        <f>SUMIF('Entrada CDRGL'!$E$8:$E$43,'Reliquidación CD RGL'!$B11,'Entrada CDRGL'!I$8:I$43)</f>
        <v>24727</v>
      </c>
      <c r="G11" s="43">
        <f>SUMIF('Entrada CDRGL'!$E$8:$E$43,'Reliquidación CD RGL'!$B11,'Entrada CDRGL'!J$8:J$43)</f>
        <v>12778916.42544608</v>
      </c>
      <c r="H11" s="43">
        <v>10114448.739058971</v>
      </c>
      <c r="I11" s="43">
        <f t="shared" si="0"/>
        <v>10165417.405717164</v>
      </c>
      <c r="J11" s="43">
        <v>4151365.3292767606</v>
      </c>
      <c r="K11" s="43">
        <f t="shared" si="2"/>
        <v>4172284.8634108547</v>
      </c>
      <c r="L11" s="43">
        <f t="shared" si="3"/>
        <v>27116618.694574095</v>
      </c>
      <c r="M11" s="43">
        <f t="shared" si="4"/>
        <v>0</v>
      </c>
      <c r="N11" s="43">
        <f t="shared" ref="N11:N43" si="6">IF(L11&gt;0,L11,0)</f>
        <v>27116618.694574095</v>
      </c>
      <c r="O11" s="43">
        <f t="shared" si="1"/>
        <v>-14589892.724214412</v>
      </c>
      <c r="P11" s="43">
        <f t="shared" si="5"/>
        <v>12526725.970359683</v>
      </c>
      <c r="Q11" s="86"/>
    </row>
    <row r="12" spans="2:17" x14ac:dyDescent="0.2">
      <c r="B12" s="42" t="s">
        <v>17</v>
      </c>
      <c r="C12" s="43">
        <f>SUMIF('Entrada CDRGL'!$E$8:$E$43,'Reliquidación CD RGL'!$B12,'Entrada CDRGL'!F$8:F$43)</f>
        <v>484040</v>
      </c>
      <c r="D12" s="43">
        <f>SUMIF('Entrada CDRGL'!$E$8:$E$43,'Reliquidación CD RGL'!$B12,'Entrada CDRGL'!G$8:G$43)</f>
        <v>1275896</v>
      </c>
      <c r="E12" s="43">
        <f>SUMIF('Entrada CDRGL'!$E$8:$E$43,'Reliquidación CD RGL'!$B12,'Entrada CDRGL'!H$8:H$43)</f>
        <v>0</v>
      </c>
      <c r="F12" s="43">
        <f>SUMIF('Entrada CDRGL'!$E$8:$E$43,'Reliquidación CD RGL'!$B12,'Entrada CDRGL'!I$8:I$43)</f>
        <v>0</v>
      </c>
      <c r="G12" s="43">
        <f>SUMIF('Entrada CDRGL'!$E$8:$E$43,'Reliquidación CD RGL'!$B12,'Entrada CDRGL'!J$8:J$43)</f>
        <v>3231521.9108381718</v>
      </c>
      <c r="H12" s="43">
        <v>2019293.790065662</v>
      </c>
      <c r="I12" s="43">
        <f t="shared" si="0"/>
        <v>2029469.4026695767</v>
      </c>
      <c r="J12" s="43">
        <v>0</v>
      </c>
      <c r="K12" s="43">
        <f t="shared" si="2"/>
        <v>0</v>
      </c>
      <c r="L12" s="43">
        <f t="shared" si="3"/>
        <v>5260991.3135077488</v>
      </c>
      <c r="M12" s="43">
        <f t="shared" si="4"/>
        <v>0</v>
      </c>
      <c r="N12" s="43">
        <f t="shared" si="6"/>
        <v>5260991.3135077488</v>
      </c>
      <c r="O12" s="43">
        <f t="shared" si="1"/>
        <v>-2830636.8043763763</v>
      </c>
      <c r="P12" s="43">
        <f t="shared" si="5"/>
        <v>2430354.5091313724</v>
      </c>
      <c r="Q12" s="86"/>
    </row>
    <row r="13" spans="2:17" x14ac:dyDescent="0.2">
      <c r="B13" s="42" t="s">
        <v>18</v>
      </c>
      <c r="C13" s="43">
        <f>SUMIF('Entrada CDRGL'!$E$8:$E$43,'Reliquidación CD RGL'!$B13,'Entrada CDRGL'!F$8:F$43)</f>
        <v>205758641.80500001</v>
      </c>
      <c r="D13" s="43">
        <f>SUMIF('Entrada CDRGL'!$E$8:$E$43,'Reliquidación CD RGL'!$B13,'Entrada CDRGL'!G$8:G$43)</f>
        <v>428742887.85100001</v>
      </c>
      <c r="E13" s="43">
        <f>SUMIF('Entrada CDRGL'!$E$8:$E$43,'Reliquidación CD RGL'!$B13,'Entrada CDRGL'!H$8:H$43)</f>
        <v>4367319.7060000002</v>
      </c>
      <c r="F13" s="43">
        <f>SUMIF('Entrada CDRGL'!$E$8:$E$43,'Reliquidación CD RGL'!$B13,'Entrada CDRGL'!I$8:I$43)</f>
        <v>1666562.73</v>
      </c>
      <c r="G13" s="43">
        <f>SUMIF('Entrada CDRGL'!$E$8:$E$43,'Reliquidación CD RGL'!$B13,'Entrada CDRGL'!J$8:J$43)</f>
        <v>143917371.65780389</v>
      </c>
      <c r="H13" s="43">
        <v>99160873.620269001</v>
      </c>
      <c r="I13" s="43">
        <f t="shared" si="0"/>
        <v>99660564.472778767</v>
      </c>
      <c r="J13" s="43">
        <v>0</v>
      </c>
      <c r="K13" s="43">
        <f t="shared" si="2"/>
        <v>0</v>
      </c>
      <c r="L13" s="43">
        <f t="shared" si="3"/>
        <v>243577936.13058266</v>
      </c>
      <c r="M13" s="43">
        <f t="shared" si="4"/>
        <v>0</v>
      </c>
      <c r="N13" s="43">
        <f t="shared" si="6"/>
        <v>243577936.13058266</v>
      </c>
      <c r="O13" s="43">
        <f t="shared" si="1"/>
        <v>-131055276.40294784</v>
      </c>
      <c r="P13" s="43">
        <f t="shared" si="5"/>
        <v>112522659.72763482</v>
      </c>
      <c r="Q13" s="86"/>
    </row>
    <row r="14" spans="2:17" x14ac:dyDescent="0.2">
      <c r="B14" s="42" t="s">
        <v>20</v>
      </c>
      <c r="C14" s="43">
        <f>SUMIF('Entrada CDRGL'!$E$8:$E$43,'Reliquidación CD RGL'!$B14,'Entrada CDRGL'!F$8:F$43)</f>
        <v>259592.5</v>
      </c>
      <c r="D14" s="43">
        <f>SUMIF('Entrada CDRGL'!$E$8:$E$43,'Reliquidación CD RGL'!$B14,'Entrada CDRGL'!G$8:G$43)</f>
        <v>880990.46799999999</v>
      </c>
      <c r="E14" s="43">
        <f>SUMIF('Entrada CDRGL'!$E$8:$E$43,'Reliquidación CD RGL'!$B14,'Entrada CDRGL'!H$8:H$43)</f>
        <v>0</v>
      </c>
      <c r="F14" s="43">
        <f>SUMIF('Entrada CDRGL'!$E$8:$E$43,'Reliquidación CD RGL'!$B14,'Entrada CDRGL'!I$8:I$43)</f>
        <v>0</v>
      </c>
      <c r="G14" s="43">
        <f>SUMIF('Entrada CDRGL'!$E$8:$E$43,'Reliquidación CD RGL'!$B14,'Entrada CDRGL'!J$8:J$43)</f>
        <v>-17254708.718796689</v>
      </c>
      <c r="H14" s="43">
        <v>0</v>
      </c>
      <c r="I14" s="43">
        <f t="shared" si="0"/>
        <v>0</v>
      </c>
      <c r="J14" s="43">
        <v>0</v>
      </c>
      <c r="K14" s="43">
        <f t="shared" si="2"/>
        <v>0</v>
      </c>
      <c r="L14" s="43">
        <f t="shared" si="3"/>
        <v>-17254708.718796689</v>
      </c>
      <c r="M14" s="43">
        <f t="shared" si="4"/>
        <v>17254708.718796689</v>
      </c>
      <c r="N14" s="43">
        <f t="shared" si="6"/>
        <v>0</v>
      </c>
      <c r="O14" s="43">
        <f t="shared" si="1"/>
        <v>17254708.718796689</v>
      </c>
      <c r="P14" s="43">
        <f t="shared" si="5"/>
        <v>0</v>
      </c>
      <c r="Q14" s="86"/>
    </row>
    <row r="15" spans="2:17" x14ac:dyDescent="0.2">
      <c r="B15" s="42" t="s">
        <v>21</v>
      </c>
      <c r="C15" s="43">
        <f>SUMIF('Entrada CDRGL'!$E$8:$E$43,'Reliquidación CD RGL'!$B15,'Entrada CDRGL'!F$8:F$43)</f>
        <v>12632883.048</v>
      </c>
      <c r="D15" s="43">
        <f>SUMIF('Entrada CDRGL'!$E$8:$E$43,'Reliquidación CD RGL'!$B15,'Entrada CDRGL'!G$8:G$43)</f>
        <v>18870597.596999999</v>
      </c>
      <c r="E15" s="43">
        <f>SUMIF('Entrada CDRGL'!$E$8:$E$43,'Reliquidación CD RGL'!$B15,'Entrada CDRGL'!H$8:H$43)</f>
        <v>307080.18300000002</v>
      </c>
      <c r="F15" s="43">
        <f>SUMIF('Entrada CDRGL'!$E$8:$E$43,'Reliquidación CD RGL'!$B15,'Entrada CDRGL'!I$8:I$43)</f>
        <v>51796.796000000002</v>
      </c>
      <c r="G15" s="43">
        <f>SUMIF('Entrada CDRGL'!$E$8:$E$43,'Reliquidación CD RGL'!$B15,'Entrada CDRGL'!J$8:J$43)</f>
        <v>-173182773.15555269</v>
      </c>
      <c r="H15" s="43">
        <v>0</v>
      </c>
      <c r="I15" s="43">
        <f t="shared" si="0"/>
        <v>0</v>
      </c>
      <c r="J15" s="43">
        <v>0</v>
      </c>
      <c r="K15" s="43">
        <f t="shared" si="2"/>
        <v>0</v>
      </c>
      <c r="L15" s="43">
        <f t="shared" si="3"/>
        <v>-173182773.15555269</v>
      </c>
      <c r="M15" s="43">
        <f t="shared" si="4"/>
        <v>173182773.15555269</v>
      </c>
      <c r="N15" s="43">
        <f t="shared" si="6"/>
        <v>0</v>
      </c>
      <c r="O15" s="43">
        <f t="shared" si="1"/>
        <v>173182773.15555269</v>
      </c>
      <c r="P15" s="43">
        <f t="shared" si="5"/>
        <v>0</v>
      </c>
      <c r="Q15" s="86"/>
    </row>
    <row r="16" spans="2:17" x14ac:dyDescent="0.2">
      <c r="B16" s="42" t="s">
        <v>22</v>
      </c>
      <c r="C16" s="43">
        <f>SUMIF('Entrada CDRGL'!$E$8:$E$43,'Reliquidación CD RGL'!$B16,'Entrada CDRGL'!F$8:F$43)</f>
        <v>0</v>
      </c>
      <c r="D16" s="43">
        <f>SUMIF('Entrada CDRGL'!$E$8:$E$43,'Reliquidación CD RGL'!$B16,'Entrada CDRGL'!G$8:G$43)</f>
        <v>0</v>
      </c>
      <c r="E16" s="43">
        <f>SUMIF('Entrada CDRGL'!$E$8:$E$43,'Reliquidación CD RGL'!$B16,'Entrada CDRGL'!H$8:H$43)</f>
        <v>0</v>
      </c>
      <c r="F16" s="43">
        <f>SUMIF('Entrada CDRGL'!$E$8:$E$43,'Reliquidación CD RGL'!$B16,'Entrada CDRGL'!I$8:I$43)</f>
        <v>0</v>
      </c>
      <c r="G16" s="43">
        <f>SUMIF('Entrada CDRGL'!$E$8:$E$43,'Reliquidación CD RGL'!$B16,'Entrada CDRGL'!J$8:J$43)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2"/>
        <v>0</v>
      </c>
      <c r="L16" s="43">
        <f t="shared" si="3"/>
        <v>0</v>
      </c>
      <c r="M16" s="43">
        <f t="shared" si="4"/>
        <v>0</v>
      </c>
      <c r="N16" s="43">
        <f t="shared" si="6"/>
        <v>0</v>
      </c>
      <c r="O16" s="43">
        <f t="shared" si="1"/>
        <v>0</v>
      </c>
      <c r="P16" s="43">
        <f t="shared" si="5"/>
        <v>0</v>
      </c>
      <c r="Q16" s="86"/>
    </row>
    <row r="17" spans="2:17" x14ac:dyDescent="0.2">
      <c r="B17" s="42" t="s">
        <v>23</v>
      </c>
      <c r="C17" s="43">
        <f>SUMIF('Entrada CDRGL'!$E$8:$E$43,'Reliquidación CD RGL'!$B17,'Entrada CDRGL'!F$8:F$43)</f>
        <v>0</v>
      </c>
      <c r="D17" s="43">
        <f>SUMIF('Entrada CDRGL'!$E$8:$E$43,'Reliquidación CD RGL'!$B17,'Entrada CDRGL'!G$8:G$43)</f>
        <v>0</v>
      </c>
      <c r="E17" s="43">
        <f>SUMIF('Entrada CDRGL'!$E$8:$E$43,'Reliquidación CD RGL'!$B17,'Entrada CDRGL'!H$8:H$43)</f>
        <v>0</v>
      </c>
      <c r="F17" s="43">
        <f>SUMIF('Entrada CDRGL'!$E$8:$E$43,'Reliquidación CD RGL'!$B17,'Entrada CDRGL'!I$8:I$43)</f>
        <v>0</v>
      </c>
      <c r="G17" s="43">
        <f>SUMIF('Entrada CDRGL'!$E$8:$E$43,'Reliquidación CD RGL'!$B17,'Entrada CDRGL'!J$8:J$43)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2"/>
        <v>0</v>
      </c>
      <c r="L17" s="43">
        <f t="shared" si="3"/>
        <v>0</v>
      </c>
      <c r="M17" s="43">
        <f t="shared" si="4"/>
        <v>0</v>
      </c>
      <c r="N17" s="43">
        <f t="shared" si="6"/>
        <v>0</v>
      </c>
      <c r="O17" s="43">
        <f t="shared" si="1"/>
        <v>0</v>
      </c>
      <c r="P17" s="43">
        <f t="shared" si="5"/>
        <v>0</v>
      </c>
      <c r="Q17" s="86"/>
    </row>
    <row r="18" spans="2:17" x14ac:dyDescent="0.2">
      <c r="B18" s="42" t="s">
        <v>24</v>
      </c>
      <c r="C18" s="43">
        <f>SUMIF('Entrada CDRGL'!$E$8:$E$43,'Reliquidación CD RGL'!$B18,'Entrada CDRGL'!F$8:F$43)+SUMIF('Entrada CDRGL'!$E$8:$E$43,"LUZ ANDES",'Entrada CDRGL'!F$8:F$43)</f>
        <v>105835490.837</v>
      </c>
      <c r="D18" s="43">
        <f>SUMIF('Entrada CDRGL'!$E$8:$E$43,'Reliquidación CD RGL'!$B18,'Entrada CDRGL'!G$8:G$43)+SUMIF('Entrada CDRGL'!$E$8:$E$43,"LUZ ANDES",'Entrada CDRGL'!G$8:G$43)</f>
        <v>550758138.64954495</v>
      </c>
      <c r="E18" s="43">
        <f>SUMIF('Entrada CDRGL'!$E$8:$E$43,'Reliquidación CD RGL'!$B18,'Entrada CDRGL'!H$8:H$43)+SUMIF('Entrada CDRGL'!$E$8:$E$43,"LUZ ANDES",'Entrada CDRGL'!H$8:H$43)</f>
        <v>873990.5</v>
      </c>
      <c r="F18" s="43">
        <f>SUMIF('Entrada CDRGL'!$E$8:$E$43,'Reliquidación CD RGL'!$B18,'Entrada CDRGL'!I$8:I$43)+SUMIF('Entrada CDRGL'!$E$8:$E$43,"LUZ ANDES",'Entrada CDRGL'!I$8:I$43)</f>
        <v>1597844.621</v>
      </c>
      <c r="G18" s="43">
        <f>SUMIF('Entrada CDRGL'!$E$8:$E$43,'Reliquidación CD RGL'!$B18,'Entrada CDRGL'!J$8:J$43)+SUMIF('Entrada CDRGL'!$E$8:$E$43,"LUZ ANDES",'Entrada CDRGL'!J$8:J$43)</f>
        <v>919776347.84239268</v>
      </c>
      <c r="H18" s="43">
        <v>588725049.27699649</v>
      </c>
      <c r="I18" s="43">
        <f t="shared" si="0"/>
        <v>591691748.85342038</v>
      </c>
      <c r="J18" s="43">
        <v>0</v>
      </c>
      <c r="K18" s="43">
        <f t="shared" si="2"/>
        <v>0</v>
      </c>
      <c r="L18" s="43">
        <f t="shared" si="3"/>
        <v>1511468096.6958132</v>
      </c>
      <c r="M18" s="43">
        <f t="shared" si="4"/>
        <v>0</v>
      </c>
      <c r="N18" s="43">
        <f t="shared" si="6"/>
        <v>1511468096.6958132</v>
      </c>
      <c r="O18" s="43">
        <f t="shared" si="1"/>
        <v>-813234040.54344654</v>
      </c>
      <c r="P18" s="43">
        <f t="shared" si="5"/>
        <v>698234056.15236664</v>
      </c>
      <c r="Q18" s="86"/>
    </row>
    <row r="19" spans="2:17" x14ac:dyDescent="0.2">
      <c r="B19" s="42" t="s">
        <v>26</v>
      </c>
      <c r="C19" s="43">
        <f>SUMIF('Entrada CDRGL'!$E$8:$E$43,'Reliquidación CD RGL'!$B19,'Entrada CDRGL'!F$8:F$43)</f>
        <v>37003444.303000003</v>
      </c>
      <c r="D19" s="43">
        <f>SUMIF('Entrada CDRGL'!$E$8:$E$43,'Reliquidación CD RGL'!$B19,'Entrada CDRGL'!G$8:G$43)</f>
        <v>66992934.467</v>
      </c>
      <c r="E19" s="43">
        <f>SUMIF('Entrada CDRGL'!$E$8:$E$43,'Reliquidación CD RGL'!$B19,'Entrada CDRGL'!H$8:H$43)</f>
        <v>990964.64199999999</v>
      </c>
      <c r="F19" s="43">
        <f>SUMIF('Entrada CDRGL'!$E$8:$E$43,'Reliquidación CD RGL'!$B19,'Entrada CDRGL'!I$8:I$43)</f>
        <v>216428.342</v>
      </c>
      <c r="G19" s="43">
        <f>SUMIF('Entrada CDRGL'!$E$8:$E$43,'Reliquidación CD RGL'!$B19,'Entrada CDRGL'!J$8:J$43)</f>
        <v>-59785192.33053308</v>
      </c>
      <c r="H19" s="43">
        <v>0</v>
      </c>
      <c r="I19" s="43">
        <f t="shared" si="0"/>
        <v>0</v>
      </c>
      <c r="J19" s="43">
        <v>0</v>
      </c>
      <c r="K19" s="43">
        <f t="shared" si="2"/>
        <v>0</v>
      </c>
      <c r="L19" s="43">
        <f t="shared" si="3"/>
        <v>-59785192.33053308</v>
      </c>
      <c r="M19" s="43">
        <f t="shared" si="4"/>
        <v>59785192.33053308</v>
      </c>
      <c r="N19" s="43">
        <f t="shared" si="6"/>
        <v>0</v>
      </c>
      <c r="O19" s="43">
        <f t="shared" si="1"/>
        <v>59785192.33053308</v>
      </c>
      <c r="P19" s="43">
        <f t="shared" si="5"/>
        <v>0</v>
      </c>
      <c r="Q19" s="86"/>
    </row>
    <row r="20" spans="2:17" x14ac:dyDescent="0.2">
      <c r="B20" s="42" t="s">
        <v>27</v>
      </c>
      <c r="C20" s="43">
        <f>SUMIF('Entrada CDRGL'!$E$8:$E$43,'Reliquidación CD RGL'!$B20,'Entrada CDRGL'!F$8:F$43)</f>
        <v>4648902.6469999999</v>
      </c>
      <c r="D20" s="43">
        <f>SUMIF('Entrada CDRGL'!$E$8:$E$43,'Reliquidación CD RGL'!$B20,'Entrada CDRGL'!G$8:G$43)</f>
        <v>16498351.562000001</v>
      </c>
      <c r="E20" s="43">
        <f>SUMIF('Entrada CDRGL'!$E$8:$E$43,'Reliquidación CD RGL'!$B20,'Entrada CDRGL'!H$8:H$43)</f>
        <v>0</v>
      </c>
      <c r="F20" s="43">
        <f>SUMIF('Entrada CDRGL'!$E$8:$E$43,'Reliquidación CD RGL'!$B20,'Entrada CDRGL'!I$8:I$43)</f>
        <v>31365.406999999999</v>
      </c>
      <c r="G20" s="43">
        <f>SUMIF('Entrada CDRGL'!$E$8:$E$43,'Reliquidación CD RGL'!$B20,'Entrada CDRGL'!J$8:J$43)</f>
        <v>38605872.011739276</v>
      </c>
      <c r="H20" s="43">
        <v>20380711.488524441</v>
      </c>
      <c r="I20" s="43">
        <f t="shared" si="0"/>
        <v>20483413.842050042</v>
      </c>
      <c r="J20" s="43">
        <v>0</v>
      </c>
      <c r="K20" s="43">
        <f t="shared" si="2"/>
        <v>0</v>
      </c>
      <c r="L20" s="43">
        <f t="shared" si="3"/>
        <v>59089285.853789315</v>
      </c>
      <c r="M20" s="43">
        <f t="shared" si="4"/>
        <v>0</v>
      </c>
      <c r="N20" s="43">
        <f t="shared" si="6"/>
        <v>59089285.853789315</v>
      </c>
      <c r="O20" s="43">
        <f t="shared" si="1"/>
        <v>-31792545.798851006</v>
      </c>
      <c r="P20" s="43">
        <f t="shared" si="5"/>
        <v>27296740.054938309</v>
      </c>
      <c r="Q20" s="86"/>
    </row>
    <row r="21" spans="2:17" x14ac:dyDescent="0.2">
      <c r="B21" s="42" t="s">
        <v>28</v>
      </c>
      <c r="C21" s="43">
        <f>SUMIF('Entrada CDRGL'!$E$8:$E$43,'Reliquidación CD RGL'!$B21,'Entrada CDRGL'!F$8:F$43)</f>
        <v>0</v>
      </c>
      <c r="D21" s="43">
        <f>SUMIF('Entrada CDRGL'!$E$8:$E$43,'Reliquidación CD RGL'!$B21,'Entrada CDRGL'!G$8:G$43)</f>
        <v>0</v>
      </c>
      <c r="E21" s="43">
        <f>SUMIF('Entrada CDRGL'!$E$8:$E$43,'Reliquidación CD RGL'!$B21,'Entrada CDRGL'!H$8:H$43)</f>
        <v>0</v>
      </c>
      <c r="F21" s="43">
        <f>SUMIF('Entrada CDRGL'!$E$8:$E$43,'Reliquidación CD RGL'!$B21,'Entrada CDRGL'!I$8:I$43)</f>
        <v>0</v>
      </c>
      <c r="G21" s="43">
        <f>SUMIF('Entrada CDRGL'!$E$8:$E$43,'Reliquidación CD RGL'!$B21,'Entrada CDRGL'!J$8:J$43)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2"/>
        <v>0</v>
      </c>
      <c r="L21" s="43">
        <f t="shared" si="3"/>
        <v>0</v>
      </c>
      <c r="M21" s="43">
        <f t="shared" si="4"/>
        <v>0</v>
      </c>
      <c r="N21" s="43">
        <f t="shared" si="6"/>
        <v>0</v>
      </c>
      <c r="O21" s="43">
        <f t="shared" si="1"/>
        <v>0</v>
      </c>
      <c r="P21" s="43">
        <f t="shared" si="5"/>
        <v>0</v>
      </c>
      <c r="Q21" s="86"/>
    </row>
    <row r="22" spans="2:17" x14ac:dyDescent="0.2">
      <c r="B22" s="42" t="s">
        <v>29</v>
      </c>
      <c r="C22" s="43">
        <f>SUMIF('Entrada CDRGL'!$E$8:$E$43,'Reliquidación CD RGL'!$B22,'Entrada CDRGL'!F$8:F$43)</f>
        <v>2529575</v>
      </c>
      <c r="D22" s="43">
        <f>SUMIF('Entrada CDRGL'!$E$8:$E$43,'Reliquidación CD RGL'!$B22,'Entrada CDRGL'!G$8:G$43)</f>
        <v>6943345</v>
      </c>
      <c r="E22" s="43">
        <f>SUMIF('Entrada CDRGL'!$E$8:$E$43,'Reliquidación CD RGL'!$B22,'Entrada CDRGL'!H$8:H$43)</f>
        <v>512</v>
      </c>
      <c r="F22" s="43">
        <f>SUMIF('Entrada CDRGL'!$E$8:$E$43,'Reliquidación CD RGL'!$B22,'Entrada CDRGL'!I$8:I$43)</f>
        <v>20437</v>
      </c>
      <c r="G22" s="43">
        <f>SUMIF('Entrada CDRGL'!$E$8:$E$43,'Reliquidación CD RGL'!$B22,'Entrada CDRGL'!J$8:J$43)</f>
        <v>-2067978.912653429</v>
      </c>
      <c r="H22" s="43">
        <v>0</v>
      </c>
      <c r="I22" s="43">
        <f t="shared" si="0"/>
        <v>0</v>
      </c>
      <c r="J22" s="43">
        <v>0</v>
      </c>
      <c r="K22" s="43">
        <f t="shared" si="2"/>
        <v>0</v>
      </c>
      <c r="L22" s="43">
        <f t="shared" si="3"/>
        <v>-2067978.912653429</v>
      </c>
      <c r="M22" s="43">
        <f t="shared" si="4"/>
        <v>2067978.912653429</v>
      </c>
      <c r="N22" s="43">
        <f t="shared" si="6"/>
        <v>0</v>
      </c>
      <c r="O22" s="43">
        <f t="shared" si="1"/>
        <v>2067978.912653429</v>
      </c>
      <c r="P22" s="43">
        <f t="shared" si="5"/>
        <v>0</v>
      </c>
      <c r="Q22" s="86"/>
    </row>
    <row r="23" spans="2:17" x14ac:dyDescent="0.2">
      <c r="B23" s="42" t="s">
        <v>30</v>
      </c>
      <c r="C23" s="43">
        <f>SUMIF('Entrada CDRGL'!$E$8:$E$43,'Reliquidación CD RGL'!$B23,'Entrada CDRGL'!F$8:F$43)</f>
        <v>7634817</v>
      </c>
      <c r="D23" s="43">
        <f>SUMIF('Entrada CDRGL'!$E$8:$E$43,'Reliquidación CD RGL'!$B23,'Entrada CDRGL'!G$8:G$43)</f>
        <v>15346168</v>
      </c>
      <c r="E23" s="43">
        <f>SUMIF('Entrada CDRGL'!$E$8:$E$43,'Reliquidación CD RGL'!$B23,'Entrada CDRGL'!H$8:H$43)</f>
        <v>563296</v>
      </c>
      <c r="F23" s="43">
        <f>SUMIF('Entrada CDRGL'!$E$8:$E$43,'Reliquidación CD RGL'!$B23,'Entrada CDRGL'!I$8:I$43)</f>
        <v>144432</v>
      </c>
      <c r="G23" s="43">
        <f>SUMIF('Entrada CDRGL'!$E$8:$E$43,'Reliquidación CD RGL'!$B23,'Entrada CDRGL'!J$8:J$43)</f>
        <v>30057545.664669789</v>
      </c>
      <c r="H23" s="43">
        <v>19934068.471136395</v>
      </c>
      <c r="I23" s="43">
        <f t="shared" si="0"/>
        <v>20034520.103969671</v>
      </c>
      <c r="J23" s="43">
        <v>0</v>
      </c>
      <c r="K23" s="43">
        <f t="shared" si="2"/>
        <v>0</v>
      </c>
      <c r="L23" s="43">
        <f t="shared" si="3"/>
        <v>50092065.76863946</v>
      </c>
      <c r="M23" s="43">
        <f t="shared" si="4"/>
        <v>0</v>
      </c>
      <c r="N23" s="43">
        <f t="shared" si="6"/>
        <v>50092065.76863946</v>
      </c>
      <c r="O23" s="43">
        <f t="shared" si="1"/>
        <v>-26951659.206867848</v>
      </c>
      <c r="P23" s="43">
        <f t="shared" si="5"/>
        <v>23140406.561771613</v>
      </c>
      <c r="Q23" s="86"/>
    </row>
    <row r="24" spans="2:17" x14ac:dyDescent="0.2">
      <c r="B24" s="42" t="s">
        <v>31</v>
      </c>
      <c r="C24" s="43">
        <f>SUMIF('Entrada CDRGL'!$E$8:$E$43,'Reliquidación CD RGL'!$B24,'Entrada CDRGL'!F$8:F$43)</f>
        <v>1710055</v>
      </c>
      <c r="D24" s="43">
        <f>SUMIF('Entrada CDRGL'!$E$8:$E$43,'Reliquidación CD RGL'!$B24,'Entrada CDRGL'!G$8:G$43)</f>
        <v>12801357</v>
      </c>
      <c r="E24" s="43">
        <f>SUMIF('Entrada CDRGL'!$E$8:$E$43,'Reliquidación CD RGL'!$B24,'Entrada CDRGL'!H$8:H$43)</f>
        <v>23</v>
      </c>
      <c r="F24" s="43">
        <f>SUMIF('Entrada CDRGL'!$E$8:$E$43,'Reliquidación CD RGL'!$B24,'Entrada CDRGL'!I$8:I$43)</f>
        <v>75415</v>
      </c>
      <c r="G24" s="43">
        <f>SUMIF('Entrada CDRGL'!$E$8:$E$43,'Reliquidación CD RGL'!$B24,'Entrada CDRGL'!J$8:J$43)</f>
        <v>20804684.670808449</v>
      </c>
      <c r="H24" s="43">
        <v>12766094.181603611</v>
      </c>
      <c r="I24" s="43">
        <f t="shared" si="0"/>
        <v>12830425.003347415</v>
      </c>
      <c r="J24" s="43">
        <v>0</v>
      </c>
      <c r="K24" s="43">
        <f t="shared" si="2"/>
        <v>0</v>
      </c>
      <c r="L24" s="43">
        <f t="shared" si="3"/>
        <v>33635109.674155861</v>
      </c>
      <c r="M24" s="43">
        <f t="shared" si="4"/>
        <v>0</v>
      </c>
      <c r="N24" s="43">
        <f t="shared" si="6"/>
        <v>33635109.674155861</v>
      </c>
      <c r="O24" s="43">
        <f t="shared" si="1"/>
        <v>-18097117.76532498</v>
      </c>
      <c r="P24" s="43">
        <f t="shared" si="5"/>
        <v>15537991.908830881</v>
      </c>
      <c r="Q24" s="86"/>
    </row>
    <row r="25" spans="2:17" x14ac:dyDescent="0.2">
      <c r="B25" s="42" t="s">
        <v>32</v>
      </c>
      <c r="C25" s="43">
        <f>SUMIF('Entrada CDRGL'!$E$8:$E$43,'Reliquidación CD RGL'!$B25,'Entrada CDRGL'!F$8:F$43)</f>
        <v>428150</v>
      </c>
      <c r="D25" s="43">
        <f>SUMIF('Entrada CDRGL'!$E$8:$E$43,'Reliquidación CD RGL'!$B25,'Entrada CDRGL'!G$8:G$43)</f>
        <v>2819733</v>
      </c>
      <c r="E25" s="43">
        <f>SUMIF('Entrada CDRGL'!$E$8:$E$43,'Reliquidación CD RGL'!$B25,'Entrada CDRGL'!H$8:H$43)</f>
        <v>224458</v>
      </c>
      <c r="F25" s="43">
        <f>SUMIF('Entrada CDRGL'!$E$8:$E$43,'Reliquidación CD RGL'!$B25,'Entrada CDRGL'!I$8:I$43)</f>
        <v>18645</v>
      </c>
      <c r="G25" s="43">
        <f>SUMIF('Entrada CDRGL'!$E$8:$E$43,'Reliquidación CD RGL'!$B25,'Entrada CDRGL'!J$8:J$43)</f>
        <v>-5453698.1845730143</v>
      </c>
      <c r="H25" s="43">
        <v>0</v>
      </c>
      <c r="I25" s="43">
        <f t="shared" si="0"/>
        <v>0</v>
      </c>
      <c r="J25" s="43">
        <v>0</v>
      </c>
      <c r="K25" s="43">
        <f t="shared" si="2"/>
        <v>0</v>
      </c>
      <c r="L25" s="43">
        <f t="shared" si="3"/>
        <v>-5453698.1845730143</v>
      </c>
      <c r="M25" s="43">
        <f t="shared" si="4"/>
        <v>5453698.1845730143</v>
      </c>
      <c r="N25" s="43">
        <f t="shared" si="6"/>
        <v>0</v>
      </c>
      <c r="O25" s="43">
        <f t="shared" si="1"/>
        <v>5453698.1845730143</v>
      </c>
      <c r="P25" s="43">
        <f t="shared" si="5"/>
        <v>0</v>
      </c>
      <c r="Q25" s="86"/>
    </row>
    <row r="26" spans="2:17" x14ac:dyDescent="0.2">
      <c r="B26" s="42" t="s">
        <v>33</v>
      </c>
      <c r="C26" s="43">
        <f>SUMIF('Entrada CDRGL'!$E$8:$E$43,'Reliquidación CD RGL'!$B26,'Entrada CDRGL'!F$8:F$43)</f>
        <v>1207749</v>
      </c>
      <c r="D26" s="43">
        <f>SUMIF('Entrada CDRGL'!$E$8:$E$43,'Reliquidación CD RGL'!$B26,'Entrada CDRGL'!G$8:G$43)</f>
        <v>1958483</v>
      </c>
      <c r="E26" s="43">
        <f>SUMIF('Entrada CDRGL'!$E$8:$E$43,'Reliquidación CD RGL'!$B26,'Entrada CDRGL'!H$8:H$43)</f>
        <v>123959</v>
      </c>
      <c r="F26" s="43">
        <f>SUMIF('Entrada CDRGL'!$E$8:$E$43,'Reliquidación CD RGL'!$B26,'Entrada CDRGL'!I$8:I$43)</f>
        <v>14811</v>
      </c>
      <c r="G26" s="43">
        <f>SUMIF('Entrada CDRGL'!$E$8:$E$43,'Reliquidación CD RGL'!$B26,'Entrada CDRGL'!J$8:J$43)</f>
        <v>4053624.0512997778</v>
      </c>
      <c r="H26" s="43">
        <v>3460517.5757612167</v>
      </c>
      <c r="I26" s="43">
        <f t="shared" si="0"/>
        <v>3477955.7942280993</v>
      </c>
      <c r="J26" s="43">
        <v>0</v>
      </c>
      <c r="K26" s="43">
        <f t="shared" si="2"/>
        <v>0</v>
      </c>
      <c r="L26" s="43">
        <f t="shared" si="3"/>
        <v>7531579.8455278771</v>
      </c>
      <c r="M26" s="43">
        <f t="shared" si="4"/>
        <v>0</v>
      </c>
      <c r="N26" s="43">
        <f t="shared" si="6"/>
        <v>7531579.8455278771</v>
      </c>
      <c r="O26" s="43">
        <f t="shared" si="1"/>
        <v>-4052309.8852326497</v>
      </c>
      <c r="P26" s="43">
        <f t="shared" si="5"/>
        <v>3479269.9602952274</v>
      </c>
      <c r="Q26" s="86"/>
    </row>
    <row r="27" spans="2:17" x14ac:dyDescent="0.2">
      <c r="B27" s="42" t="s">
        <v>34</v>
      </c>
      <c r="C27" s="43">
        <f>SUMIF('Entrada CDRGL'!$E$8:$E$43,'Reliquidación CD RGL'!$B27,'Entrada CDRGL'!F$8:F$43)</f>
        <v>4644915</v>
      </c>
      <c r="D27" s="43">
        <f>SUMIF('Entrada CDRGL'!$E$8:$E$43,'Reliquidación CD RGL'!$B27,'Entrada CDRGL'!G$8:G$43)</f>
        <v>8092754</v>
      </c>
      <c r="E27" s="43">
        <f>SUMIF('Entrada CDRGL'!$E$8:$E$43,'Reliquidación CD RGL'!$B27,'Entrada CDRGL'!H$8:H$43)</f>
        <v>413737</v>
      </c>
      <c r="F27" s="43">
        <f>SUMIF('Entrada CDRGL'!$E$8:$E$43,'Reliquidación CD RGL'!$B27,'Entrada CDRGL'!I$8:I$43)</f>
        <v>95593</v>
      </c>
      <c r="G27" s="43">
        <f>SUMIF('Entrada CDRGL'!$E$8:$E$43,'Reliquidación CD RGL'!$B27,'Entrada CDRGL'!J$8:J$43)</f>
        <v>-3211645.5139699942</v>
      </c>
      <c r="H27" s="43">
        <v>0</v>
      </c>
      <c r="I27" s="43">
        <f t="shared" si="0"/>
        <v>0</v>
      </c>
      <c r="J27" s="43">
        <v>0</v>
      </c>
      <c r="K27" s="43">
        <f t="shared" si="2"/>
        <v>0</v>
      </c>
      <c r="L27" s="43">
        <f t="shared" si="3"/>
        <v>-3211645.5139699942</v>
      </c>
      <c r="M27" s="43">
        <f t="shared" si="4"/>
        <v>3211645.5139699942</v>
      </c>
      <c r="N27" s="43">
        <f t="shared" si="6"/>
        <v>0</v>
      </c>
      <c r="O27" s="43">
        <f t="shared" si="1"/>
        <v>3211645.5139699942</v>
      </c>
      <c r="P27" s="43">
        <f t="shared" si="5"/>
        <v>0</v>
      </c>
      <c r="Q27" s="86"/>
    </row>
    <row r="28" spans="2:17" x14ac:dyDescent="0.2">
      <c r="B28" s="42" t="s">
        <v>35</v>
      </c>
      <c r="C28" s="43">
        <f>SUMIF('Entrada CDRGL'!$E$8:$E$43,'Reliquidación CD RGL'!$B28,'Entrada CDRGL'!F$8:F$43)</f>
        <v>23228606.84</v>
      </c>
      <c r="D28" s="43">
        <f>SUMIF('Entrada CDRGL'!$E$8:$E$43,'Reliquidación CD RGL'!$B28,'Entrada CDRGL'!G$8:G$43)</f>
        <v>58052228.479999997</v>
      </c>
      <c r="E28" s="43">
        <f>SUMIF('Entrada CDRGL'!$E$8:$E$43,'Reliquidación CD RGL'!$B28,'Entrada CDRGL'!H$8:H$43)</f>
        <v>344292.01699999999</v>
      </c>
      <c r="F28" s="43">
        <f>SUMIF('Entrada CDRGL'!$E$8:$E$43,'Reliquidación CD RGL'!$B28,'Entrada CDRGL'!I$8:I$43)</f>
        <v>182052.5</v>
      </c>
      <c r="G28" s="43">
        <f>SUMIF('Entrada CDRGL'!$E$8:$E$43,'Reliquidación CD RGL'!$B28,'Entrada CDRGL'!J$8:J$43)</f>
        <v>-105755928.191664</v>
      </c>
      <c r="H28" s="43">
        <v>0</v>
      </c>
      <c r="I28" s="43">
        <f t="shared" si="0"/>
        <v>0</v>
      </c>
      <c r="J28" s="43">
        <v>0</v>
      </c>
      <c r="K28" s="43">
        <f t="shared" si="2"/>
        <v>0</v>
      </c>
      <c r="L28" s="43">
        <f t="shared" si="3"/>
        <v>-105755928.191664</v>
      </c>
      <c r="M28" s="43">
        <f t="shared" si="4"/>
        <v>105755928.191664</v>
      </c>
      <c r="N28" s="43">
        <f t="shared" si="6"/>
        <v>0</v>
      </c>
      <c r="O28" s="43">
        <f t="shared" si="1"/>
        <v>105755928.191664</v>
      </c>
      <c r="P28" s="43">
        <f t="shared" si="5"/>
        <v>0</v>
      </c>
      <c r="Q28" s="86"/>
    </row>
    <row r="29" spans="2:17" x14ac:dyDescent="0.2">
      <c r="B29" s="42" t="s">
        <v>36</v>
      </c>
      <c r="C29" s="43">
        <f>SUMIF('Entrada CDRGL'!$E$8:$E$43,'Reliquidación CD RGL'!$B29,'Entrada CDRGL'!F$8:F$43)</f>
        <v>10434754.33</v>
      </c>
      <c r="D29" s="43">
        <f>SUMIF('Entrada CDRGL'!$E$8:$E$43,'Reliquidación CD RGL'!$B29,'Entrada CDRGL'!G$8:G$43)</f>
        <v>4082568.36</v>
      </c>
      <c r="E29" s="43">
        <f>SUMIF('Entrada CDRGL'!$E$8:$E$43,'Reliquidación CD RGL'!$B29,'Entrada CDRGL'!H$8:H$43)</f>
        <v>204604.52</v>
      </c>
      <c r="F29" s="43">
        <f>SUMIF('Entrada CDRGL'!$E$8:$E$43,'Reliquidación CD RGL'!$B29,'Entrada CDRGL'!I$8:I$43)</f>
        <v>19249</v>
      </c>
      <c r="G29" s="43">
        <f>SUMIF('Entrada CDRGL'!$E$8:$E$43,'Reliquidación CD RGL'!$B29,'Entrada CDRGL'!J$8:J$43)</f>
        <v>1002278.666528397</v>
      </c>
      <c r="H29" s="43">
        <v>0</v>
      </c>
      <c r="I29" s="43">
        <f t="shared" si="0"/>
        <v>0</v>
      </c>
      <c r="J29" s="43">
        <v>0</v>
      </c>
      <c r="K29" s="43">
        <f t="shared" si="2"/>
        <v>0</v>
      </c>
      <c r="L29" s="43">
        <f t="shared" si="3"/>
        <v>1002278.666528397</v>
      </c>
      <c r="M29" s="43">
        <f t="shared" si="4"/>
        <v>0</v>
      </c>
      <c r="N29" s="43">
        <f t="shared" si="6"/>
        <v>1002278.666528397</v>
      </c>
      <c r="O29" s="43">
        <f t="shared" si="1"/>
        <v>-539268.49763698608</v>
      </c>
      <c r="P29" s="43">
        <f t="shared" si="5"/>
        <v>463010.16889141093</v>
      </c>
      <c r="Q29" s="86"/>
    </row>
    <row r="30" spans="2:17" x14ac:dyDescent="0.2">
      <c r="B30" s="42" t="s">
        <v>37</v>
      </c>
      <c r="C30" s="43">
        <f>SUMIF('Entrada CDRGL'!$E$8:$E$43,'Reliquidación CD RGL'!$B30,'Entrada CDRGL'!F$8:F$43)</f>
        <v>40664118.969999999</v>
      </c>
      <c r="D30" s="43">
        <f>SUMIF('Entrada CDRGL'!$E$8:$E$43,'Reliquidación CD RGL'!$B30,'Entrada CDRGL'!G$8:G$43)</f>
        <v>90559490.280000001</v>
      </c>
      <c r="E30" s="43">
        <f>SUMIF('Entrada CDRGL'!$E$8:$E$43,'Reliquidación CD RGL'!$B30,'Entrada CDRGL'!H$8:H$43)</f>
        <v>240297.55</v>
      </c>
      <c r="F30" s="43">
        <f>SUMIF('Entrada CDRGL'!$E$8:$E$43,'Reliquidación CD RGL'!$B30,'Entrada CDRGL'!I$8:I$43)</f>
        <v>211339.80799999999</v>
      </c>
      <c r="G30" s="43">
        <f>SUMIF('Entrada CDRGL'!$E$8:$E$43,'Reliquidación CD RGL'!$B30,'Entrada CDRGL'!J$8:J$43)</f>
        <v>-140169217.8263208</v>
      </c>
      <c r="H30" s="43">
        <v>0</v>
      </c>
      <c r="I30" s="43">
        <f t="shared" si="0"/>
        <v>0</v>
      </c>
      <c r="J30" s="43">
        <v>0</v>
      </c>
      <c r="K30" s="43">
        <f t="shared" si="2"/>
        <v>0</v>
      </c>
      <c r="L30" s="43">
        <f t="shared" si="3"/>
        <v>-140169217.8263208</v>
      </c>
      <c r="M30" s="43">
        <f t="shared" si="4"/>
        <v>140169217.8263208</v>
      </c>
      <c r="N30" s="43">
        <f t="shared" si="6"/>
        <v>0</v>
      </c>
      <c r="O30" s="43">
        <f t="shared" si="1"/>
        <v>140169217.82632083</v>
      </c>
      <c r="P30" s="43">
        <f t="shared" si="5"/>
        <v>0</v>
      </c>
      <c r="Q30" s="86"/>
    </row>
    <row r="31" spans="2:17" x14ac:dyDescent="0.2">
      <c r="B31" s="42" t="s">
        <v>38</v>
      </c>
      <c r="C31" s="43">
        <f>SUMIF('Entrada CDRGL'!$E$8:$E$43,'Reliquidación CD RGL'!$B31,'Entrada CDRGL'!F$8:F$43)</f>
        <v>2219270</v>
      </c>
      <c r="D31" s="43">
        <f>SUMIF('Entrada CDRGL'!$E$8:$E$43,'Reliquidación CD RGL'!$B31,'Entrada CDRGL'!G$8:G$43)</f>
        <v>2867470</v>
      </c>
      <c r="E31" s="43">
        <f>SUMIF('Entrada CDRGL'!$E$8:$E$43,'Reliquidación CD RGL'!$B31,'Entrada CDRGL'!H$8:H$43)</f>
        <v>37197</v>
      </c>
      <c r="F31" s="43">
        <f>SUMIF('Entrada CDRGL'!$E$8:$E$43,'Reliquidación CD RGL'!$B31,'Entrada CDRGL'!I$8:I$43)</f>
        <v>19109</v>
      </c>
      <c r="G31" s="43">
        <f>SUMIF('Entrada CDRGL'!$E$8:$E$43,'Reliquidación CD RGL'!$B31,'Entrada CDRGL'!J$8:J$43)</f>
        <v>4273943.5074858852</v>
      </c>
      <c r="H31" s="43">
        <v>2777920.4779264145</v>
      </c>
      <c r="I31" s="43">
        <f t="shared" si="0"/>
        <v>2791918.9573784517</v>
      </c>
      <c r="J31" s="43">
        <v>0</v>
      </c>
      <c r="K31" s="43">
        <f t="shared" si="2"/>
        <v>0</v>
      </c>
      <c r="L31" s="43">
        <f t="shared" si="3"/>
        <v>7065862.4648643369</v>
      </c>
      <c r="M31" s="43">
        <f t="shared" si="4"/>
        <v>0</v>
      </c>
      <c r="N31" s="43">
        <f t="shared" si="6"/>
        <v>7065862.4648643369</v>
      </c>
      <c r="O31" s="43">
        <f t="shared" si="1"/>
        <v>-3801734.1515759025</v>
      </c>
      <c r="P31" s="43">
        <f t="shared" si="5"/>
        <v>3264128.3132884344</v>
      </c>
      <c r="Q31" s="86"/>
    </row>
    <row r="32" spans="2:17" x14ac:dyDescent="0.2">
      <c r="B32" s="42" t="s">
        <v>39</v>
      </c>
      <c r="C32" s="43">
        <f>SUMIF('Entrada CDRGL'!$E$8:$E$43,'Reliquidación CD RGL'!$B32,'Entrada CDRGL'!F$8:F$43)</f>
        <v>43366931.2927</v>
      </c>
      <c r="D32" s="43">
        <f>SUMIF('Entrada CDRGL'!$E$8:$E$43,'Reliquidación CD RGL'!$B32,'Entrada CDRGL'!G$8:G$43)</f>
        <v>118633381.88410001</v>
      </c>
      <c r="E32" s="43">
        <f>SUMIF('Entrada CDRGL'!$E$8:$E$43,'Reliquidación CD RGL'!$B32,'Entrada CDRGL'!H$8:H$43)</f>
        <v>2154770.7999999998</v>
      </c>
      <c r="F32" s="43">
        <f>SUMIF('Entrada CDRGL'!$E$8:$E$43,'Reliquidación CD RGL'!$B32,'Entrada CDRGL'!I$8:I$43)</f>
        <v>739940.58109999995</v>
      </c>
      <c r="G32" s="43">
        <f>SUMIF('Entrada CDRGL'!$E$8:$E$43,'Reliquidación CD RGL'!$B32,'Entrada CDRGL'!J$8:J$43)</f>
        <v>-239752305.69715711</v>
      </c>
      <c r="H32" s="43">
        <v>0</v>
      </c>
      <c r="I32" s="43">
        <f t="shared" si="0"/>
        <v>0</v>
      </c>
      <c r="J32" s="43">
        <v>0</v>
      </c>
      <c r="K32" s="43">
        <f t="shared" si="2"/>
        <v>0</v>
      </c>
      <c r="L32" s="43">
        <f t="shared" si="3"/>
        <v>-239752305.69715711</v>
      </c>
      <c r="M32" s="43">
        <f t="shared" si="4"/>
        <v>239752305.69715711</v>
      </c>
      <c r="N32" s="43">
        <f t="shared" si="6"/>
        <v>0</v>
      </c>
      <c r="O32" s="43">
        <f t="shared" si="1"/>
        <v>239752305.69715711</v>
      </c>
      <c r="P32" s="43">
        <f t="shared" si="5"/>
        <v>0</v>
      </c>
      <c r="Q32" s="86"/>
    </row>
    <row r="33" spans="2:17" x14ac:dyDescent="0.2">
      <c r="B33" s="42" t="s">
        <v>40</v>
      </c>
      <c r="C33" s="43">
        <f>SUMIF('Entrada CDRGL'!$E$8:$E$43,'Reliquidación CD RGL'!$B33,'Entrada CDRGL'!F$8:F$43)</f>
        <v>1599904</v>
      </c>
      <c r="D33" s="43">
        <f>SUMIF('Entrada CDRGL'!$E$8:$E$43,'Reliquidación CD RGL'!$B33,'Entrada CDRGL'!G$8:G$43)</f>
        <v>2793061.7</v>
      </c>
      <c r="E33" s="43">
        <f>SUMIF('Entrada CDRGL'!$E$8:$E$43,'Reliquidación CD RGL'!$B33,'Entrada CDRGL'!H$8:H$43)</f>
        <v>40216</v>
      </c>
      <c r="F33" s="43">
        <f>SUMIF('Entrada CDRGL'!$E$8:$E$43,'Reliquidación CD RGL'!$B33,'Entrada CDRGL'!I$8:I$43)</f>
        <v>90763</v>
      </c>
      <c r="G33" s="43">
        <f>SUMIF('Entrada CDRGL'!$E$8:$E$43,'Reliquidación CD RGL'!$B33,'Entrada CDRGL'!J$8:J$43)</f>
        <v>6829439.8768359879</v>
      </c>
      <c r="H33" s="43">
        <v>4514892.5943815</v>
      </c>
      <c r="I33" s="43">
        <f t="shared" si="0"/>
        <v>4537644.0128302313</v>
      </c>
      <c r="J33" s="43">
        <v>0</v>
      </c>
      <c r="K33" s="43">
        <f t="shared" si="2"/>
        <v>0</v>
      </c>
      <c r="L33" s="43">
        <f t="shared" si="3"/>
        <v>11367083.889666218</v>
      </c>
      <c r="M33" s="43">
        <f t="shared" si="4"/>
        <v>0</v>
      </c>
      <c r="N33" s="43">
        <f t="shared" si="6"/>
        <v>11367083.889666218</v>
      </c>
      <c r="O33" s="43">
        <f t="shared" si="1"/>
        <v>-6115973.9864823455</v>
      </c>
      <c r="P33" s="43">
        <f t="shared" si="5"/>
        <v>5251109.9031838728</v>
      </c>
      <c r="Q33" s="86"/>
    </row>
    <row r="34" spans="2:17" x14ac:dyDescent="0.2">
      <c r="B34" s="42" t="s">
        <v>41</v>
      </c>
      <c r="C34" s="43">
        <f>SUMIF('Entrada CDRGL'!$E$8:$E$43,'Reliquidación CD RGL'!$B34,'Entrada CDRGL'!F$8:F$43)</f>
        <v>1328047.5</v>
      </c>
      <c r="D34" s="43">
        <f>SUMIF('Entrada CDRGL'!$E$8:$E$43,'Reliquidación CD RGL'!$B34,'Entrada CDRGL'!G$8:G$43)</f>
        <v>9654550.4544999991</v>
      </c>
      <c r="E34" s="43">
        <f>SUMIF('Entrada CDRGL'!$E$8:$E$43,'Reliquidación CD RGL'!$B34,'Entrada CDRGL'!H$8:H$43)</f>
        <v>4520</v>
      </c>
      <c r="F34" s="43">
        <f>SUMIF('Entrada CDRGL'!$E$8:$E$43,'Reliquidación CD RGL'!$B34,'Entrada CDRGL'!I$8:I$43)</f>
        <v>40135.199999999997</v>
      </c>
      <c r="G34" s="43">
        <f>SUMIF('Entrada CDRGL'!$E$8:$E$43,'Reliquidación CD RGL'!$B34,'Entrada CDRGL'!J$8:J$43)</f>
        <v>17336956.178039361</v>
      </c>
      <c r="H34" s="43">
        <v>11152085.713981109</v>
      </c>
      <c r="I34" s="43">
        <f t="shared" si="0"/>
        <v>11208283.234376311</v>
      </c>
      <c r="J34" s="43">
        <v>0</v>
      </c>
      <c r="K34" s="43">
        <f t="shared" si="2"/>
        <v>0</v>
      </c>
      <c r="L34" s="43">
        <f t="shared" si="3"/>
        <v>28545239.412415672</v>
      </c>
      <c r="M34" s="43">
        <f t="shared" si="4"/>
        <v>0</v>
      </c>
      <c r="N34" s="43">
        <f t="shared" si="6"/>
        <v>28545239.412415672</v>
      </c>
      <c r="O34" s="43">
        <f t="shared" si="1"/>
        <v>-15358551.35572253</v>
      </c>
      <c r="P34" s="43">
        <f t="shared" si="5"/>
        <v>13186688.056693142</v>
      </c>
      <c r="Q34" s="86"/>
    </row>
    <row r="35" spans="2:17" x14ac:dyDescent="0.2">
      <c r="B35" s="42" t="s">
        <v>42</v>
      </c>
      <c r="C35" s="43">
        <f>SUMIF('Entrada CDRGL'!$E$8:$E$43,'Reliquidación CD RGL'!$B35,'Entrada CDRGL'!F$8:F$43)</f>
        <v>5920564.7000000002</v>
      </c>
      <c r="D35" s="43">
        <f>SUMIF('Entrada CDRGL'!$E$8:$E$43,'Reliquidación CD RGL'!$B35,'Entrada CDRGL'!G$8:G$43)</f>
        <v>6370444.5549999997</v>
      </c>
      <c r="E35" s="43">
        <f>SUMIF('Entrada CDRGL'!$E$8:$E$43,'Reliquidación CD RGL'!$B35,'Entrada CDRGL'!H$8:H$43)</f>
        <v>251144</v>
      </c>
      <c r="F35" s="43">
        <f>SUMIF('Entrada CDRGL'!$E$8:$E$43,'Reliquidación CD RGL'!$B35,'Entrada CDRGL'!I$8:I$43)</f>
        <v>28672.674900000002</v>
      </c>
      <c r="G35" s="43">
        <f>SUMIF('Entrada CDRGL'!$E$8:$E$43,'Reliquidación CD RGL'!$B35,'Entrada CDRGL'!J$8:J$43)</f>
        <v>-50767988.757257618</v>
      </c>
      <c r="H35" s="43">
        <v>0</v>
      </c>
      <c r="I35" s="43">
        <f t="shared" si="0"/>
        <v>0</v>
      </c>
      <c r="J35" s="43">
        <v>0</v>
      </c>
      <c r="K35" s="43">
        <f t="shared" si="2"/>
        <v>0</v>
      </c>
      <c r="L35" s="43">
        <f t="shared" si="3"/>
        <v>-50767988.757257618</v>
      </c>
      <c r="M35" s="43">
        <f t="shared" si="4"/>
        <v>50767988.757257618</v>
      </c>
      <c r="N35" s="43">
        <f t="shared" si="6"/>
        <v>0</v>
      </c>
      <c r="O35" s="43">
        <f t="shared" si="1"/>
        <v>50767988.757257618</v>
      </c>
      <c r="P35" s="43">
        <f t="shared" si="5"/>
        <v>0</v>
      </c>
      <c r="Q35" s="86"/>
    </row>
    <row r="36" spans="2:17" x14ac:dyDescent="0.2">
      <c r="B36" s="42" t="s">
        <v>43</v>
      </c>
      <c r="C36" s="43">
        <f>SUMIF('Entrada CDRGL'!$E$8:$E$43,'Reliquidación CD RGL'!$B36,'Entrada CDRGL'!F$8:F$43)</f>
        <v>11293541.5</v>
      </c>
      <c r="D36" s="43">
        <f>SUMIF('Entrada CDRGL'!$E$8:$E$43,'Reliquidación CD RGL'!$B36,'Entrada CDRGL'!G$8:G$43)</f>
        <v>5362850.2964000003</v>
      </c>
      <c r="E36" s="43">
        <f>SUMIF('Entrada CDRGL'!$E$8:$E$43,'Reliquidación CD RGL'!$B36,'Entrada CDRGL'!H$8:H$43)</f>
        <v>339324</v>
      </c>
      <c r="F36" s="43">
        <f>SUMIF('Entrada CDRGL'!$E$8:$E$43,'Reliquidación CD RGL'!$B36,'Entrada CDRGL'!I$8:I$43)</f>
        <v>77313.899999999994</v>
      </c>
      <c r="G36" s="43">
        <f>SUMIF('Entrada CDRGL'!$E$8:$E$43,'Reliquidación CD RGL'!$B36,'Entrada CDRGL'!J$8:J$43)</f>
        <v>21847198.691540658</v>
      </c>
      <c r="H36" s="43">
        <v>11875900.290892467</v>
      </c>
      <c r="I36" s="43">
        <f t="shared" si="0"/>
        <v>11935745.253164602</v>
      </c>
      <c r="J36" s="43">
        <v>0</v>
      </c>
      <c r="K36" s="43">
        <f t="shared" si="2"/>
        <v>0</v>
      </c>
      <c r="L36" s="43">
        <f t="shared" si="3"/>
        <v>33782943.944705263</v>
      </c>
      <c r="M36" s="43">
        <f t="shared" si="4"/>
        <v>0</v>
      </c>
      <c r="N36" s="43">
        <f t="shared" si="6"/>
        <v>33782943.944705263</v>
      </c>
      <c r="O36" s="43">
        <f t="shared" si="1"/>
        <v>-18176658.882621799</v>
      </c>
      <c r="P36" s="43">
        <f t="shared" si="5"/>
        <v>15606285.062083464</v>
      </c>
      <c r="Q36" s="86"/>
    </row>
    <row r="37" spans="2:17" x14ac:dyDescent="0.2">
      <c r="B37" s="42" t="s">
        <v>45</v>
      </c>
      <c r="C37" s="43">
        <f>SUMIF('Entrada CDRGL'!$E$8:$E$43,'Reliquidación CD RGL'!$B37,'Entrada CDRGL'!F$8:F$43)</f>
        <v>435933.99999999988</v>
      </c>
      <c r="D37" s="43">
        <f>SUMIF('Entrada CDRGL'!$E$8:$E$43,'Reliquidación CD RGL'!$B37,'Entrada CDRGL'!G$8:G$43)</f>
        <v>919290</v>
      </c>
      <c r="E37" s="43">
        <f>SUMIF('Entrada CDRGL'!$E$8:$E$43,'Reliquidación CD RGL'!$B37,'Entrada CDRGL'!H$8:H$43)</f>
        <v>43245</v>
      </c>
      <c r="F37" s="43">
        <f>SUMIF('Entrada CDRGL'!$E$8:$E$43,'Reliquidación CD RGL'!$B37,'Entrada CDRGL'!I$8:I$43)</f>
        <v>12427</v>
      </c>
      <c r="G37" s="43">
        <f>SUMIF('Entrada CDRGL'!$E$8:$E$43,'Reliquidación CD RGL'!$B37,'Entrada CDRGL'!J$8:J$43)</f>
        <v>-11664747.59193665</v>
      </c>
      <c r="H37" s="43">
        <v>0</v>
      </c>
      <c r="I37" s="43">
        <f t="shared" si="0"/>
        <v>0</v>
      </c>
      <c r="J37" s="43">
        <v>0</v>
      </c>
      <c r="K37" s="43">
        <f t="shared" si="2"/>
        <v>0</v>
      </c>
      <c r="L37" s="43">
        <f t="shared" si="3"/>
        <v>-11664747.59193665</v>
      </c>
      <c r="M37" s="43">
        <f t="shared" si="4"/>
        <v>11664747.59193665</v>
      </c>
      <c r="N37" s="43">
        <f t="shared" si="6"/>
        <v>0</v>
      </c>
      <c r="O37" s="43">
        <f t="shared" si="1"/>
        <v>11664747.59193665</v>
      </c>
      <c r="P37" s="43">
        <f t="shared" si="5"/>
        <v>0</v>
      </c>
      <c r="Q37" s="86"/>
    </row>
    <row r="38" spans="2:17" x14ac:dyDescent="0.2">
      <c r="B38" s="42" t="s">
        <v>46</v>
      </c>
      <c r="C38" s="43">
        <f>SUMIF('Entrada CDRGL'!$E$8:$E$43,'Reliquidación CD RGL'!$B38,'Entrada CDRGL'!F$8:F$43)</f>
        <v>4512098.3830000004</v>
      </c>
      <c r="D38" s="43">
        <f>SUMIF('Entrada CDRGL'!$E$8:$E$43,'Reliquidación CD RGL'!$B38,'Entrada CDRGL'!G$8:G$43)</f>
        <v>17811131.941</v>
      </c>
      <c r="E38" s="43">
        <f>SUMIF('Entrada CDRGL'!$E$8:$E$43,'Reliquidación CD RGL'!$B38,'Entrada CDRGL'!H$8:H$43)</f>
        <v>13458</v>
      </c>
      <c r="F38" s="43">
        <f>SUMIF('Entrada CDRGL'!$E$8:$E$43,'Reliquidación CD RGL'!$B38,'Entrada CDRGL'!I$8:I$43)</f>
        <v>42244.014000000003</v>
      </c>
      <c r="G38" s="43">
        <f>SUMIF('Entrada CDRGL'!$E$8:$E$43,'Reliquidación CD RGL'!$B38,'Entrada CDRGL'!J$8:J$43)</f>
        <v>33479691.292486109</v>
      </c>
      <c r="H38" s="43">
        <v>18709413.843134016</v>
      </c>
      <c r="I38" s="43">
        <f t="shared" si="0"/>
        <v>18803694.204045668</v>
      </c>
      <c r="J38" s="43">
        <v>0</v>
      </c>
      <c r="K38" s="43">
        <f t="shared" si="2"/>
        <v>0</v>
      </c>
      <c r="L38" s="43">
        <f t="shared" si="3"/>
        <v>52283385.496531777</v>
      </c>
      <c r="M38" s="43">
        <f>IF(L38&lt;0,-L38,0)</f>
        <v>0</v>
      </c>
      <c r="N38" s="43">
        <f>IF(L38&gt;0,L38,0)</f>
        <v>52283385.496531777</v>
      </c>
      <c r="O38" s="43">
        <f t="shared" si="1"/>
        <v>-28130682.303903203</v>
      </c>
      <c r="P38" s="43">
        <f t="shared" si="5"/>
        <v>24152703.192628574</v>
      </c>
      <c r="Q38" s="86"/>
    </row>
    <row r="39" spans="2:17" x14ac:dyDescent="0.2">
      <c r="B39" s="42" t="s">
        <v>47</v>
      </c>
      <c r="C39" s="43">
        <f>SUMIF('Entrada CDRGL'!$E$8:$E$43,'Reliquidación CD RGL'!$B39,'Entrada CDRGL'!F$8:F$43)</f>
        <v>6283946.3530000001</v>
      </c>
      <c r="D39" s="43">
        <f>SUMIF('Entrada CDRGL'!$E$8:$E$43,'Reliquidación CD RGL'!$B39,'Entrada CDRGL'!G$8:G$43)</f>
        <v>27286382.329</v>
      </c>
      <c r="E39" s="43">
        <f>SUMIF('Entrada CDRGL'!$E$8:$E$43,'Reliquidación CD RGL'!$B39,'Entrada CDRGL'!H$8:H$43)</f>
        <v>12570.960999999999</v>
      </c>
      <c r="F39" s="43">
        <f>SUMIF('Entrada CDRGL'!$E$8:$E$43,'Reliquidación CD RGL'!$B39,'Entrada CDRGL'!I$8:I$43)</f>
        <v>20482.008000000002</v>
      </c>
      <c r="G39" s="43">
        <f>SUMIF('Entrada CDRGL'!$E$8:$E$43,'Reliquidación CD RGL'!$B39,'Entrada CDRGL'!J$8:J$43)</f>
        <v>-87256484.912933633</v>
      </c>
      <c r="H39" s="43">
        <v>0</v>
      </c>
      <c r="I39" s="43">
        <f t="shared" si="0"/>
        <v>0</v>
      </c>
      <c r="J39" s="43">
        <v>0</v>
      </c>
      <c r="K39" s="43">
        <f t="shared" si="2"/>
        <v>0</v>
      </c>
      <c r="L39" s="43">
        <f t="shared" si="3"/>
        <v>-87256484.912933633</v>
      </c>
      <c r="M39" s="43">
        <f t="shared" si="4"/>
        <v>87256484.912933633</v>
      </c>
      <c r="N39" s="43">
        <f t="shared" si="6"/>
        <v>0</v>
      </c>
      <c r="O39" s="43">
        <f t="shared" si="1"/>
        <v>87256484.912933633</v>
      </c>
      <c r="P39" s="43">
        <f t="shared" si="5"/>
        <v>0</v>
      </c>
      <c r="Q39" s="86"/>
    </row>
    <row r="40" spans="2:17" x14ac:dyDescent="0.2">
      <c r="B40" s="42" t="s">
        <v>48</v>
      </c>
      <c r="C40" s="43">
        <f>SUMIF('Entrada CDRGL'!$E$8:$E$43,'Reliquidación CD RGL'!$B40,'Entrada CDRGL'!F$8:F$43)</f>
        <v>14651117.562000001</v>
      </c>
      <c r="D40" s="43">
        <f>SUMIF('Entrada CDRGL'!$E$8:$E$43,'Reliquidación CD RGL'!$B40,'Entrada CDRGL'!G$8:G$43)</f>
        <v>47142862.340291329</v>
      </c>
      <c r="E40" s="43">
        <f>SUMIF('Entrada CDRGL'!$E$8:$E$43,'Reliquidación CD RGL'!$B40,'Entrada CDRGL'!H$8:H$43)</f>
        <v>45278.1</v>
      </c>
      <c r="F40" s="43">
        <f>SUMIF('Entrada CDRGL'!$E$8:$E$43,'Reliquidación CD RGL'!$B40,'Entrada CDRGL'!I$8:I$43)</f>
        <v>62467.421000000002</v>
      </c>
      <c r="G40" s="43">
        <f>SUMIF('Entrada CDRGL'!$E$8:$E$43,'Reliquidación CD RGL'!$B40,'Entrada CDRGL'!J$8:J$43)</f>
        <v>-190596188.76053891</v>
      </c>
      <c r="H40" s="43">
        <v>0</v>
      </c>
      <c r="I40" s="43">
        <f t="shared" si="0"/>
        <v>0</v>
      </c>
      <c r="J40" s="43">
        <v>0</v>
      </c>
      <c r="K40" s="43">
        <f t="shared" si="2"/>
        <v>0</v>
      </c>
      <c r="L40" s="43">
        <f t="shared" si="3"/>
        <v>-190596188.76053891</v>
      </c>
      <c r="M40" s="43">
        <f t="shared" si="4"/>
        <v>190596188.76053891</v>
      </c>
      <c r="N40" s="43">
        <f t="shared" si="6"/>
        <v>0</v>
      </c>
      <c r="O40" s="43">
        <f t="shared" si="1"/>
        <v>190596188.76053891</v>
      </c>
      <c r="P40" s="43">
        <f t="shared" si="5"/>
        <v>0</v>
      </c>
      <c r="Q40" s="86"/>
    </row>
    <row r="41" spans="2:17" x14ac:dyDescent="0.2">
      <c r="B41" s="42" t="s">
        <v>49</v>
      </c>
      <c r="C41" s="43">
        <f>SUMIF('Entrada CDRGL'!$E$8:$E$43,'Reliquidación CD RGL'!$B41,'Entrada CDRGL'!F$8:F$43)</f>
        <v>0</v>
      </c>
      <c r="D41" s="43">
        <f>SUMIF('Entrada CDRGL'!$E$8:$E$43,'Reliquidación CD RGL'!$B41,'Entrada CDRGL'!G$8:G$43)</f>
        <v>0</v>
      </c>
      <c r="E41" s="43">
        <f>SUMIF('Entrada CDRGL'!$E$8:$E$43,'Reliquidación CD RGL'!$B41,'Entrada CDRGL'!H$8:H$43)</f>
        <v>0</v>
      </c>
      <c r="F41" s="43">
        <f>SUMIF('Entrada CDRGL'!$E$8:$E$43,'Reliquidación CD RGL'!$B41,'Entrada CDRGL'!I$8:I$43)</f>
        <v>0</v>
      </c>
      <c r="G41" s="43">
        <f>SUMIF('Entrada CDRGL'!$E$8:$E$43,'Reliquidación CD RGL'!$B41,'Entrada CDRGL'!J$8:J$43)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2"/>
        <v>0</v>
      </c>
      <c r="L41" s="43">
        <f t="shared" si="3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  <c r="Q41" s="86"/>
    </row>
    <row r="42" spans="2:17" x14ac:dyDescent="0.2">
      <c r="B42" s="42" t="s">
        <v>50</v>
      </c>
      <c r="C42" s="43">
        <f>SUMIF('Entrada CDRGL'!$E$8:$E$43,'Reliquidación CD RGL'!$B42,'Entrada CDRGL'!F$8:F$43)</f>
        <v>0</v>
      </c>
      <c r="D42" s="43">
        <f>SUMIF('Entrada CDRGL'!$E$8:$E$43,'Reliquidación CD RGL'!$B42,'Entrada CDRGL'!G$8:G$43)</f>
        <v>11968</v>
      </c>
      <c r="E42" s="43">
        <f>SUMIF('Entrada CDRGL'!$E$8:$E$43,'Reliquidación CD RGL'!$B42,'Entrada CDRGL'!H$8:H$43)</f>
        <v>0</v>
      </c>
      <c r="F42" s="43">
        <f>SUMIF('Entrada CDRGL'!$E$8:$E$43,'Reliquidación CD RGL'!$B42,'Entrada CDRGL'!I$8:I$43)</f>
        <v>0</v>
      </c>
      <c r="G42" s="43">
        <f>SUMIF('Entrada CDRGL'!$E$8:$E$43,'Reliquidación CD RGL'!$B42,'Entrada CDRGL'!J$8:J$43)</f>
        <v>0</v>
      </c>
      <c r="H42" s="43">
        <v>0</v>
      </c>
      <c r="I42" s="43">
        <f t="shared" si="0"/>
        <v>0</v>
      </c>
      <c r="J42" s="43">
        <v>0</v>
      </c>
      <c r="K42" s="43">
        <f t="shared" si="2"/>
        <v>0</v>
      </c>
      <c r="L42" s="43">
        <f t="shared" si="3"/>
        <v>0</v>
      </c>
      <c r="M42" s="43">
        <f>IF(L42&lt;0,-L42,0)</f>
        <v>0</v>
      </c>
      <c r="N42" s="43">
        <f>IF(L42&gt;0,L42,0)</f>
        <v>0</v>
      </c>
      <c r="O42" s="43">
        <f t="shared" si="1"/>
        <v>0</v>
      </c>
      <c r="P42" s="43">
        <f>L42+O42</f>
        <v>0</v>
      </c>
      <c r="Q42" s="86"/>
    </row>
    <row r="43" spans="2:17" x14ac:dyDescent="0.2">
      <c r="B43" s="44" t="s">
        <v>51</v>
      </c>
      <c r="C43" s="45">
        <f>SUMIF('Entrada CDRGL'!$E$8:$E$43,'Reliquidación CD RGL'!$B43,'Entrada CDRGL'!F$8:F$43)</f>
        <v>32785.800000000003</v>
      </c>
      <c r="D43" s="45">
        <f>SUMIF('Entrada CDRGL'!$E$8:$E$43,'Reliquidación CD RGL'!$B43,'Entrada CDRGL'!G$8:G$43)</f>
        <v>63849.4</v>
      </c>
      <c r="E43" s="45">
        <f>SUMIF('Entrada CDRGL'!$E$8:$E$43,'Reliquidación CD RGL'!$B43,'Entrada CDRGL'!H$8:H$43)</f>
        <v>0</v>
      </c>
      <c r="F43" s="45">
        <f>SUMIF('Entrada CDRGL'!$E$8:$E$43,'Reliquidación CD RGL'!$B43,'Entrada CDRGL'!I$8:I$43)</f>
        <v>0</v>
      </c>
      <c r="G43" s="45">
        <f>SUMIF('Entrada CDRGL'!$E$8:$E$43,'Reliquidación CD RGL'!$B43,'Entrada CDRGL'!J$8:J$43)</f>
        <v>-2286363.255466803</v>
      </c>
      <c r="H43" s="45">
        <v>0</v>
      </c>
      <c r="I43" s="45">
        <f t="shared" si="0"/>
        <v>0</v>
      </c>
      <c r="J43" s="45">
        <v>0</v>
      </c>
      <c r="K43" s="45">
        <f t="shared" si="2"/>
        <v>0</v>
      </c>
      <c r="L43" s="45">
        <f t="shared" si="3"/>
        <v>-2286363.255466803</v>
      </c>
      <c r="M43" s="45">
        <f t="shared" si="4"/>
        <v>2286363.255466803</v>
      </c>
      <c r="N43" s="45">
        <f t="shared" si="6"/>
        <v>0</v>
      </c>
      <c r="O43" s="45">
        <f>IF(OR($M$44=0,$N$44=0),0,((M43/$M$44-N43/$N$44)*$N$49))</f>
        <v>2286363.255466803</v>
      </c>
      <c r="P43" s="45">
        <f t="shared" si="5"/>
        <v>0</v>
      </c>
      <c r="Q43" s="86"/>
    </row>
    <row r="44" spans="2:17" x14ac:dyDescent="0.2">
      <c r="B44" s="46" t="s">
        <v>66</v>
      </c>
      <c r="C44" s="16">
        <f t="shared" ref="C44:O44" si="7">SUM(C9:C43)</f>
        <v>558796905.73070002</v>
      </c>
      <c r="D44" s="16">
        <f t="shared" si="7"/>
        <v>1537318590.6478362</v>
      </c>
      <c r="E44" s="16">
        <f t="shared" si="7"/>
        <v>11776268.979</v>
      </c>
      <c r="F44" s="16">
        <f t="shared" si="7"/>
        <v>5585086.0030000014</v>
      </c>
      <c r="G44" s="16">
        <f t="shared" si="7"/>
        <v>143269044.13870966</v>
      </c>
      <c r="H44" s="16">
        <f>SUM(H9:H43)</f>
        <v>805591270.06373131</v>
      </c>
      <c r="I44" s="16">
        <f>SUM(I9:I43)</f>
        <v>809650800.53997648</v>
      </c>
      <c r="J44" s="16">
        <f t="shared" ref="J44:K44" si="8">SUM(J9:J43)</f>
        <v>4151365.3292767606</v>
      </c>
      <c r="K44" s="16">
        <f t="shared" si="8"/>
        <v>4172284.8634108547</v>
      </c>
      <c r="L44" s="16">
        <f>SUM(L9:L43)</f>
        <v>957092129.54209757</v>
      </c>
      <c r="M44" s="16">
        <f t="shared" si="7"/>
        <v>1114726348.3092046</v>
      </c>
      <c r="N44" s="16">
        <f t="shared" si="7"/>
        <v>2071818477.8513021</v>
      </c>
      <c r="O44" s="16">
        <f t="shared" si="7"/>
        <v>2.5238841772079468E-7</v>
      </c>
      <c r="P44" s="16">
        <f>SUM(P9:P43)</f>
        <v>957092129.54209757</v>
      </c>
    </row>
    <row r="45" spans="2:17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58"/>
      <c r="I47" s="17"/>
      <c r="J47" s="17"/>
      <c r="K47" s="17"/>
      <c r="L47" s="17"/>
      <c r="M47" s="7" t="s">
        <v>91</v>
      </c>
      <c r="N47" s="53">
        <f>N44</f>
        <v>2071818477.8513021</v>
      </c>
      <c r="O47"/>
    </row>
    <row r="48" spans="2:17" x14ac:dyDescent="0.2">
      <c r="B48"/>
      <c r="C48"/>
      <c r="H48" s="52"/>
      <c r="I48" s="17"/>
      <c r="J48" s="17"/>
      <c r="K48" s="17"/>
      <c r="L48" s="17"/>
      <c r="M48" s="7" t="s">
        <v>92</v>
      </c>
      <c r="N48" s="53">
        <f>M44</f>
        <v>1114726348.3092046</v>
      </c>
      <c r="O48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1114726348.3092046</v>
      </c>
      <c r="O49"/>
      <c r="P49" s="54"/>
    </row>
    <row r="50" spans="2:16" x14ac:dyDescent="0.2">
      <c r="M50" s="17"/>
      <c r="N50"/>
    </row>
    <row r="51" spans="2:16" x14ac:dyDescent="0.2">
      <c r="G51" s="54"/>
      <c r="H51" s="54"/>
    </row>
    <row r="52" spans="2:16" x14ac:dyDescent="0.2">
      <c r="H52" s="11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397E-89FA-406F-B652-4CC9C534F2F4}">
  <sheetPr codeName="Hoja2">
    <tabColor theme="9" tint="0.59999389629810485"/>
  </sheetPr>
  <dimension ref="A2:T82"/>
  <sheetViews>
    <sheetView zoomScale="70" zoomScaleNormal="70" workbookViewId="0"/>
  </sheetViews>
  <sheetFormatPr baseColWidth="10" defaultColWidth="11.42578125" defaultRowHeight="12.75" x14ac:dyDescent="0.2"/>
  <cols>
    <col min="1" max="1" width="9.140625" style="87" customWidth="1"/>
    <col min="2" max="2" width="28" style="87" customWidth="1"/>
    <col min="3" max="3" width="17" style="87" customWidth="1"/>
    <col min="4" max="4" width="18.7109375" style="87" customWidth="1"/>
    <col min="5" max="5" width="20" style="87" customWidth="1"/>
    <col min="6" max="6" width="21.85546875" style="87" customWidth="1"/>
    <col min="7" max="7" width="18.140625" style="87" customWidth="1"/>
    <col min="8" max="8" width="14.5703125" style="87" customWidth="1"/>
    <col min="9" max="9" width="21.42578125" style="87" customWidth="1"/>
    <col min="10" max="10" width="17.42578125" style="87" customWidth="1"/>
    <col min="11" max="11" width="16" style="87" bestFit="1" customWidth="1"/>
    <col min="12" max="12" width="15.28515625" style="87" bestFit="1" customWidth="1"/>
    <col min="13" max="13" width="15.42578125" style="87" bestFit="1" customWidth="1"/>
    <col min="14" max="14" width="18.7109375" style="87" customWidth="1"/>
    <col min="15" max="15" width="15.28515625" style="87" bestFit="1" customWidth="1"/>
    <col min="16" max="16" width="14" style="87" bestFit="1" customWidth="1"/>
    <col min="17" max="21" width="10.85546875" style="87" customWidth="1"/>
    <col min="22" max="22" width="13.28515625" style="87" bestFit="1" customWidth="1"/>
    <col min="23" max="23" width="15.85546875" style="87" bestFit="1" customWidth="1"/>
    <col min="24" max="24" width="17" style="87" bestFit="1" customWidth="1"/>
    <col min="25" max="25" width="17.85546875" style="87" customWidth="1"/>
    <col min="26" max="16384" width="11.42578125" style="87"/>
  </cols>
  <sheetData>
    <row r="2" spans="1:11" x14ac:dyDescent="0.2">
      <c r="B2" s="88" t="s">
        <v>93</v>
      </c>
      <c r="C2" s="88"/>
      <c r="D2" s="88"/>
      <c r="E2" s="88"/>
      <c r="F2" s="88"/>
      <c r="G2" s="88"/>
      <c r="H2" s="88"/>
      <c r="J2" s="50" t="s">
        <v>94</v>
      </c>
      <c r="K2" s="50"/>
    </row>
    <row r="3" spans="1:11" x14ac:dyDescent="0.2">
      <c r="B3" s="89">
        <f>FechaFacturacion</f>
        <v>45717</v>
      </c>
      <c r="C3" s="90"/>
      <c r="D3" s="90"/>
      <c r="E3" s="90"/>
      <c r="F3" s="90"/>
      <c r="G3" s="90"/>
      <c r="H3" s="90"/>
    </row>
    <row r="6" spans="1:11" ht="12.75" customHeight="1" x14ac:dyDescent="0.2">
      <c r="B6" s="91" t="s">
        <v>6</v>
      </c>
      <c r="C6" s="92" t="s">
        <v>78</v>
      </c>
      <c r="E6" s="91" t="s">
        <v>6</v>
      </c>
      <c r="F6" s="29" t="s">
        <v>79</v>
      </c>
      <c r="G6" s="92" t="s">
        <v>80</v>
      </c>
      <c r="I6" s="91" t="s">
        <v>81</v>
      </c>
      <c r="J6" s="93" cm="1">
        <f t="array" ref="J6">SUMPRODUCT(($G$8:$G$32&gt;0)*($G$8:$G$32))</f>
        <v>923747843.80350268</v>
      </c>
      <c r="K6" s="94"/>
    </row>
    <row r="7" spans="1:11" ht="27" customHeight="1" x14ac:dyDescent="0.2">
      <c r="B7" s="91"/>
      <c r="C7" s="95"/>
      <c r="E7" s="91"/>
      <c r="F7" s="34"/>
      <c r="G7" s="95"/>
      <c r="I7" s="91"/>
      <c r="J7" s="93"/>
      <c r="K7" s="94"/>
    </row>
    <row r="8" spans="1:11" x14ac:dyDescent="0.2">
      <c r="B8" s="96" t="s">
        <v>14</v>
      </c>
      <c r="C8" s="97">
        <f>'Reliquidación CD RGL'!O9</f>
        <v>2489089.5877014678</v>
      </c>
      <c r="D8" s="98"/>
      <c r="E8" s="96" t="s">
        <v>14</v>
      </c>
      <c r="F8" s="99">
        <v>0</v>
      </c>
      <c r="G8" s="99">
        <f>VLOOKUP(E8,$B$8:$C$42,2,0)+F8</f>
        <v>2489089.5877014678</v>
      </c>
      <c r="H8" s="100"/>
      <c r="J8" s="50"/>
      <c r="K8" s="50"/>
    </row>
    <row r="9" spans="1:11" x14ac:dyDescent="0.2">
      <c r="B9" s="101" t="s">
        <v>15</v>
      </c>
      <c r="C9" s="99">
        <f>'Reliquidación CD RGL'!O10</f>
        <v>23032036.912148882</v>
      </c>
      <c r="D9" s="98"/>
      <c r="E9" s="101" t="s">
        <v>15</v>
      </c>
      <c r="F9" s="99">
        <v>0</v>
      </c>
      <c r="G9" s="99">
        <f>VLOOKUP(E9,$B$8:$C$42,2,0)+F9</f>
        <v>23032036.912148882</v>
      </c>
      <c r="H9" s="100"/>
      <c r="J9" s="50"/>
      <c r="K9" s="50"/>
    </row>
    <row r="10" spans="1:11" x14ac:dyDescent="0.2">
      <c r="B10" s="101" t="s">
        <v>16</v>
      </c>
      <c r="C10" s="99">
        <f>'Reliquidación CD RGL'!O11</f>
        <v>-14589892.724214412</v>
      </c>
      <c r="D10" s="98"/>
      <c r="E10" s="101" t="s">
        <v>16</v>
      </c>
      <c r="F10" s="99">
        <v>0</v>
      </c>
      <c r="G10" s="99">
        <f>VLOOKUP(E10,$B$8:$C$42,2,0)+F10</f>
        <v>-14589892.724214412</v>
      </c>
      <c r="H10" s="100"/>
      <c r="J10" s="50"/>
      <c r="K10" s="50"/>
    </row>
    <row r="11" spans="1:11" x14ac:dyDescent="0.2">
      <c r="B11" s="101" t="s">
        <v>17</v>
      </c>
      <c r="C11" s="99">
        <f>'Reliquidación CD RGL'!O12</f>
        <v>-2830636.8043763763</v>
      </c>
      <c r="D11" s="98"/>
      <c r="E11" s="101" t="s">
        <v>17</v>
      </c>
      <c r="F11" s="99">
        <v>0</v>
      </c>
      <c r="G11" s="99">
        <f>VLOOKUP(E11,$B$8:$C$42,2,0)+F11</f>
        <v>-2830636.8043763763</v>
      </c>
      <c r="H11" s="100"/>
      <c r="I11" s="50"/>
      <c r="J11" s="50"/>
      <c r="K11" s="50"/>
    </row>
    <row r="12" spans="1:11" x14ac:dyDescent="0.2">
      <c r="B12" s="101" t="s">
        <v>18</v>
      </c>
      <c r="C12" s="99">
        <f>'Reliquidación CD RGL'!O13</f>
        <v>-131055276.40294784</v>
      </c>
      <c r="D12" s="98"/>
      <c r="E12" s="101" t="s">
        <v>82</v>
      </c>
      <c r="F12" s="99">
        <v>0</v>
      </c>
      <c r="G12" s="99">
        <f>C12+C13+C14+C15+C16+C18+C19+C20+C37+C38+C39+F12</f>
        <v>337096843.37265289</v>
      </c>
      <c r="H12" s="100"/>
      <c r="I12" s="50"/>
      <c r="J12" s="50"/>
      <c r="K12" s="50"/>
    </row>
    <row r="13" spans="1:11" x14ac:dyDescent="0.2">
      <c r="B13" s="101" t="s">
        <v>20</v>
      </c>
      <c r="C13" s="99">
        <f>'Reliquidación CD RGL'!O14</f>
        <v>17254708.718796689</v>
      </c>
      <c r="D13" s="98"/>
      <c r="E13" s="101" t="s">
        <v>83</v>
      </c>
      <c r="F13" s="99">
        <v>0</v>
      </c>
      <c r="G13" s="99">
        <f>C17+F13</f>
        <v>-813234040.54344654</v>
      </c>
      <c r="H13" s="100"/>
      <c r="I13" s="50"/>
      <c r="J13" s="50"/>
      <c r="K13" s="50"/>
    </row>
    <row r="14" spans="1:11" x14ac:dyDescent="0.2">
      <c r="B14" s="101" t="s">
        <v>21</v>
      </c>
      <c r="C14" s="99">
        <f>'Reliquidación CD RGL'!O15</f>
        <v>173182773.15555269</v>
      </c>
      <c r="D14" s="98"/>
      <c r="E14" s="101" t="s">
        <v>29</v>
      </c>
      <c r="F14" s="99">
        <v>0</v>
      </c>
      <c r="G14" s="99">
        <f>VLOOKUP(E14,$B$8:$C$42,2,0)+F14</f>
        <v>2067978.912653429</v>
      </c>
      <c r="H14" s="100"/>
      <c r="I14" s="50"/>
      <c r="J14" s="50"/>
      <c r="K14" s="50"/>
    </row>
    <row r="15" spans="1:11" x14ac:dyDescent="0.2">
      <c r="B15" s="101" t="s">
        <v>22</v>
      </c>
      <c r="C15" s="99">
        <f>'Reliquidación CD RGL'!O16</f>
        <v>0</v>
      </c>
      <c r="D15" s="98"/>
      <c r="E15" s="101" t="s">
        <v>30</v>
      </c>
      <c r="F15" s="99">
        <v>0</v>
      </c>
      <c r="G15" s="99">
        <f t="shared" ref="G15:G32" si="0">VLOOKUP(E15,$B$8:$C$42,2,0)+F15</f>
        <v>-26951659.206867848</v>
      </c>
      <c r="H15" s="100"/>
      <c r="I15" s="50"/>
      <c r="J15" s="50"/>
      <c r="K15" s="50"/>
    </row>
    <row r="16" spans="1:11" x14ac:dyDescent="0.2">
      <c r="A16" s="50"/>
      <c r="B16" s="101" t="s">
        <v>23</v>
      </c>
      <c r="C16" s="99">
        <f>'Reliquidación CD RGL'!O17</f>
        <v>0</v>
      </c>
      <c r="D16" s="98"/>
      <c r="E16" s="101" t="s">
        <v>31</v>
      </c>
      <c r="F16" s="99">
        <v>0</v>
      </c>
      <c r="G16" s="99">
        <f t="shared" si="0"/>
        <v>-18097117.76532498</v>
      </c>
      <c r="H16" s="100"/>
      <c r="I16" s="50"/>
      <c r="J16" s="50"/>
      <c r="K16" s="50"/>
    </row>
    <row r="17" spans="1:11" x14ac:dyDescent="0.2">
      <c r="B17" s="101" t="s">
        <v>24</v>
      </c>
      <c r="C17" s="99">
        <f>'Reliquidación CD RGL'!O18</f>
        <v>-813234040.54344654</v>
      </c>
      <c r="D17" s="98"/>
      <c r="E17" s="101" t="s">
        <v>32</v>
      </c>
      <c r="F17" s="99">
        <v>0</v>
      </c>
      <c r="G17" s="99">
        <f t="shared" si="0"/>
        <v>5453698.1845730143</v>
      </c>
      <c r="H17" s="100"/>
      <c r="I17" s="50"/>
      <c r="J17" s="50"/>
      <c r="K17" s="50"/>
    </row>
    <row r="18" spans="1:11" x14ac:dyDescent="0.2">
      <c r="B18" s="101" t="s">
        <v>26</v>
      </c>
      <c r="C18" s="99">
        <f>'Reliquidación CD RGL'!O19</f>
        <v>59785192.33053308</v>
      </c>
      <c r="D18" s="98"/>
      <c r="E18" s="101" t="s">
        <v>33</v>
      </c>
      <c r="F18" s="99">
        <v>0</v>
      </c>
      <c r="G18" s="99">
        <f t="shared" si="0"/>
        <v>-4052309.8852326497</v>
      </c>
      <c r="H18" s="100"/>
      <c r="I18" s="50"/>
      <c r="J18" s="50"/>
      <c r="K18" s="50"/>
    </row>
    <row r="19" spans="1:11" x14ac:dyDescent="0.2">
      <c r="B19" s="101" t="s">
        <v>27</v>
      </c>
      <c r="C19" s="99">
        <f>'Reliquidación CD RGL'!O20</f>
        <v>-31792545.798851006</v>
      </c>
      <c r="D19" s="98"/>
      <c r="E19" s="101" t="s">
        <v>34</v>
      </c>
      <c r="F19" s="99">
        <v>0</v>
      </c>
      <c r="G19" s="99">
        <f t="shared" si="0"/>
        <v>3211645.5139699942</v>
      </c>
      <c r="H19" s="100"/>
      <c r="I19" s="50"/>
      <c r="J19" s="50"/>
      <c r="K19" s="50"/>
    </row>
    <row r="20" spans="1:11" x14ac:dyDescent="0.2">
      <c r="B20" s="101" t="s">
        <v>28</v>
      </c>
      <c r="C20" s="99">
        <f>'Reliquidación CD RGL'!O21</f>
        <v>0</v>
      </c>
      <c r="D20" s="98"/>
      <c r="E20" s="101" t="s">
        <v>35</v>
      </c>
      <c r="F20" s="99">
        <v>0</v>
      </c>
      <c r="G20" s="99">
        <f t="shared" si="0"/>
        <v>105755928.191664</v>
      </c>
      <c r="H20" s="100"/>
      <c r="I20" s="50"/>
      <c r="J20" s="50"/>
      <c r="K20" s="50"/>
    </row>
    <row r="21" spans="1:11" x14ac:dyDescent="0.2">
      <c r="B21" s="101" t="s">
        <v>29</v>
      </c>
      <c r="C21" s="99">
        <f>'Reliquidación CD RGL'!O22</f>
        <v>2067978.912653429</v>
      </c>
      <c r="D21" s="98"/>
      <c r="E21" s="101" t="s">
        <v>36</v>
      </c>
      <c r="F21" s="99">
        <v>0</v>
      </c>
      <c r="G21" s="99">
        <f t="shared" si="0"/>
        <v>-539268.49763698608</v>
      </c>
      <c r="H21" s="100"/>
      <c r="I21" s="50"/>
      <c r="J21" s="50"/>
      <c r="K21" s="50"/>
    </row>
    <row r="22" spans="1:11" x14ac:dyDescent="0.2">
      <c r="B22" s="101" t="s">
        <v>30</v>
      </c>
      <c r="C22" s="99">
        <f>'Reliquidación CD RGL'!O23</f>
        <v>-26951659.206867848</v>
      </c>
      <c r="D22" s="98"/>
      <c r="E22" s="101" t="s">
        <v>37</v>
      </c>
      <c r="F22" s="99">
        <v>0</v>
      </c>
      <c r="G22" s="99">
        <f t="shared" si="0"/>
        <v>140169217.82632083</v>
      </c>
      <c r="H22" s="100"/>
      <c r="I22" s="50"/>
      <c r="J22" s="50"/>
      <c r="K22" s="50"/>
    </row>
    <row r="23" spans="1:11" x14ac:dyDescent="0.2">
      <c r="B23" s="101" t="s">
        <v>31</v>
      </c>
      <c r="C23" s="99">
        <f>'Reliquidación CD RGL'!O24</f>
        <v>-18097117.76532498</v>
      </c>
      <c r="D23" s="98"/>
      <c r="E23" s="101" t="s">
        <v>38</v>
      </c>
      <c r="F23" s="99">
        <v>0</v>
      </c>
      <c r="G23" s="99">
        <f t="shared" si="0"/>
        <v>-3801734.1515759025</v>
      </c>
      <c r="H23" s="100"/>
      <c r="I23" s="50"/>
      <c r="J23" s="50"/>
      <c r="K23" s="50"/>
    </row>
    <row r="24" spans="1:11" x14ac:dyDescent="0.2">
      <c r="B24" s="101" t="s">
        <v>32</v>
      </c>
      <c r="C24" s="99">
        <f>'Reliquidación CD RGL'!O25</f>
        <v>5453698.1845730143</v>
      </c>
      <c r="D24" s="98"/>
      <c r="E24" s="101" t="s">
        <v>39</v>
      </c>
      <c r="F24" s="99">
        <v>0</v>
      </c>
      <c r="G24" s="99">
        <f t="shared" si="0"/>
        <v>239752305.69715711</v>
      </c>
      <c r="H24" s="100"/>
      <c r="I24" s="50"/>
      <c r="J24" s="50"/>
      <c r="K24" s="50"/>
    </row>
    <row r="25" spans="1:11" x14ac:dyDescent="0.2">
      <c r="B25" s="101" t="s">
        <v>33</v>
      </c>
      <c r="C25" s="99">
        <f>'Reliquidación CD RGL'!O26</f>
        <v>-4052309.8852326497</v>
      </c>
      <c r="D25" s="98"/>
      <c r="E25" s="101" t="s">
        <v>40</v>
      </c>
      <c r="F25" s="99">
        <v>0</v>
      </c>
      <c r="G25" s="99">
        <f t="shared" si="0"/>
        <v>-6115973.9864823455</v>
      </c>
      <c r="H25" s="100"/>
      <c r="I25" s="50"/>
      <c r="J25" s="50"/>
      <c r="K25" s="50"/>
    </row>
    <row r="26" spans="1:11" x14ac:dyDescent="0.2">
      <c r="B26" s="101" t="s">
        <v>34</v>
      </c>
      <c r="C26" s="99">
        <f>'Reliquidación CD RGL'!O27</f>
        <v>3211645.5139699942</v>
      </c>
      <c r="D26" s="98"/>
      <c r="E26" s="101" t="s">
        <v>41</v>
      </c>
      <c r="F26" s="99">
        <v>0</v>
      </c>
      <c r="G26" s="99">
        <f t="shared" si="0"/>
        <v>-15358551.35572253</v>
      </c>
      <c r="H26" s="100"/>
      <c r="I26" s="50"/>
      <c r="J26" s="50"/>
      <c r="K26" s="50"/>
    </row>
    <row r="27" spans="1:11" x14ac:dyDescent="0.2">
      <c r="B27" s="101" t="s">
        <v>35</v>
      </c>
      <c r="C27" s="99">
        <f>'Reliquidación CD RGL'!O28</f>
        <v>105755928.191664</v>
      </c>
      <c r="D27" s="98"/>
      <c r="E27" s="101" t="s">
        <v>42</v>
      </c>
      <c r="F27" s="99">
        <v>0</v>
      </c>
      <c r="G27" s="99">
        <f t="shared" si="0"/>
        <v>50767988.757257618</v>
      </c>
      <c r="H27" s="100"/>
      <c r="I27" s="50"/>
      <c r="J27" s="50"/>
      <c r="K27" s="50"/>
    </row>
    <row r="28" spans="1:11" x14ac:dyDescent="0.2">
      <c r="B28" s="101" t="s">
        <v>36</v>
      </c>
      <c r="C28" s="99">
        <f>'Reliquidación CD RGL'!O29</f>
        <v>-539268.49763698608</v>
      </c>
      <c r="D28" s="98"/>
      <c r="E28" s="101" t="s">
        <v>43</v>
      </c>
      <c r="F28" s="99">
        <v>0</v>
      </c>
      <c r="G28" s="99">
        <f t="shared" si="0"/>
        <v>-18176658.882621799</v>
      </c>
      <c r="H28" s="100"/>
      <c r="I28" s="50"/>
      <c r="J28" s="50"/>
      <c r="K28" s="50"/>
    </row>
    <row r="29" spans="1:11" x14ac:dyDescent="0.2">
      <c r="A29" s="50"/>
      <c r="B29" s="101" t="s">
        <v>37</v>
      </c>
      <c r="C29" s="99">
        <f>'Reliquidación CD RGL'!O30</f>
        <v>140169217.82632083</v>
      </c>
      <c r="D29" s="98"/>
      <c r="E29" s="101" t="s">
        <v>45</v>
      </c>
      <c r="F29" s="99">
        <v>0</v>
      </c>
      <c r="G29" s="99">
        <f t="shared" si="0"/>
        <v>11664747.59193665</v>
      </c>
      <c r="H29" s="100"/>
      <c r="I29" s="50"/>
      <c r="J29" s="50"/>
      <c r="K29" s="50"/>
    </row>
    <row r="30" spans="1:11" x14ac:dyDescent="0.2">
      <c r="B30" s="101" t="s">
        <v>38</v>
      </c>
      <c r="C30" s="99">
        <f>'Reliquidación CD RGL'!O31</f>
        <v>-3801734.1515759025</v>
      </c>
      <c r="D30" s="98"/>
      <c r="E30" s="101" t="s">
        <v>49</v>
      </c>
      <c r="F30" s="99">
        <v>0</v>
      </c>
      <c r="G30" s="99">
        <f t="shared" si="0"/>
        <v>0</v>
      </c>
      <c r="H30" s="100"/>
      <c r="I30" s="50"/>
      <c r="J30" s="50"/>
      <c r="K30" s="50"/>
    </row>
    <row r="31" spans="1:11" x14ac:dyDescent="0.2">
      <c r="A31" s="50"/>
      <c r="B31" s="101" t="s">
        <v>39</v>
      </c>
      <c r="C31" s="99">
        <f>'Reliquidación CD RGL'!O32</f>
        <v>239752305.69715711</v>
      </c>
      <c r="D31" s="98"/>
      <c r="E31" s="42" t="s">
        <v>50</v>
      </c>
      <c r="F31" s="99">
        <v>0</v>
      </c>
      <c r="G31" s="99">
        <f t="shared" si="0"/>
        <v>0</v>
      </c>
      <c r="H31" s="100"/>
      <c r="I31" s="50"/>
      <c r="J31" s="50"/>
      <c r="K31" s="50"/>
    </row>
    <row r="32" spans="1:11" x14ac:dyDescent="0.2">
      <c r="A32" s="50"/>
      <c r="B32" s="101" t="s">
        <v>40</v>
      </c>
      <c r="C32" s="99">
        <f>'Reliquidación CD RGL'!O33</f>
        <v>-6115973.9864823455</v>
      </c>
      <c r="D32" s="98"/>
      <c r="E32" s="102" t="s">
        <v>51</v>
      </c>
      <c r="F32" s="99">
        <v>0</v>
      </c>
      <c r="G32" s="99">
        <f t="shared" si="0"/>
        <v>2286363.255466803</v>
      </c>
      <c r="H32" s="98"/>
      <c r="I32" s="50"/>
      <c r="J32" s="50"/>
      <c r="K32" s="50"/>
    </row>
    <row r="33" spans="1:20" x14ac:dyDescent="0.2">
      <c r="A33" s="50"/>
      <c r="B33" s="101" t="s">
        <v>41</v>
      </c>
      <c r="C33" s="99">
        <f>'Reliquidación CD RGL'!O34</f>
        <v>-15358551.35572253</v>
      </c>
      <c r="D33" s="98"/>
      <c r="E33" s="103" t="s">
        <v>66</v>
      </c>
      <c r="F33" s="104">
        <f>SUM(F7:F32)</f>
        <v>0</v>
      </c>
      <c r="G33" s="104">
        <f>SUM(G8:G32)</f>
        <v>3.3993273973464966E-7</v>
      </c>
      <c r="H33" s="105"/>
      <c r="I33" s="50"/>
      <c r="J33" s="50"/>
      <c r="K33" s="50"/>
    </row>
    <row r="34" spans="1:20" x14ac:dyDescent="0.2">
      <c r="B34" s="101" t="s">
        <v>42</v>
      </c>
      <c r="C34" s="99">
        <f>'Reliquidación CD RGL'!O35</f>
        <v>50767988.757257618</v>
      </c>
      <c r="D34" s="98"/>
      <c r="E34" s="106"/>
      <c r="F34" s="106"/>
      <c r="G34" s="107"/>
      <c r="H34" s="105"/>
      <c r="I34" s="50"/>
      <c r="J34" s="50"/>
      <c r="K34" s="50"/>
    </row>
    <row r="35" spans="1:20" x14ac:dyDescent="0.2">
      <c r="A35" s="50"/>
      <c r="B35" s="101" t="s">
        <v>43</v>
      </c>
      <c r="C35" s="99">
        <f>'Reliquidación CD RGL'!O36</f>
        <v>-18176658.882621799</v>
      </c>
      <c r="D35" s="98"/>
      <c r="E35" s="106"/>
      <c r="F35" s="67"/>
      <c r="G35" s="107"/>
      <c r="H35" s="105"/>
      <c r="I35" s="50"/>
      <c r="J35" s="50"/>
      <c r="K35" s="50"/>
    </row>
    <row r="36" spans="1:20" x14ac:dyDescent="0.2">
      <c r="A36" s="50"/>
      <c r="B36" s="101" t="s">
        <v>45</v>
      </c>
      <c r="C36" s="99">
        <f>'Reliquidación CD RGL'!O37</f>
        <v>11664747.59193665</v>
      </c>
      <c r="D36" s="98"/>
      <c r="E36" s="106"/>
      <c r="F36" s="106"/>
      <c r="G36" s="107"/>
      <c r="H36" s="105"/>
      <c r="I36" s="50"/>
      <c r="J36" s="50"/>
      <c r="K36" s="50"/>
    </row>
    <row r="37" spans="1:20" x14ac:dyDescent="0.2">
      <c r="B37" s="101" t="s">
        <v>46</v>
      </c>
      <c r="C37" s="99">
        <f>'Reliquidación CD RGL'!O38</f>
        <v>-28130682.303903203</v>
      </c>
      <c r="D37" s="98"/>
      <c r="E37" s="106"/>
      <c r="F37" s="106"/>
      <c r="G37" s="107"/>
      <c r="H37" s="105"/>
      <c r="I37" s="50"/>
      <c r="J37" s="50"/>
      <c r="K37" s="50"/>
    </row>
    <row r="38" spans="1:20" x14ac:dyDescent="0.2">
      <c r="B38" s="101" t="s">
        <v>47</v>
      </c>
      <c r="C38" s="99">
        <f>'Reliquidación CD RGL'!O39</f>
        <v>87256484.912933633</v>
      </c>
      <c r="D38" s="98"/>
      <c r="E38" s="106"/>
      <c r="F38" s="106"/>
      <c r="G38" s="107"/>
      <c r="H38" s="105"/>
      <c r="I38" s="50"/>
      <c r="J38" s="50"/>
      <c r="K38" s="50"/>
    </row>
    <row r="39" spans="1:20" x14ac:dyDescent="0.2">
      <c r="B39" s="101" t="s">
        <v>48</v>
      </c>
      <c r="C39" s="99">
        <f>'Reliquidación CD RGL'!O40</f>
        <v>190596188.76053891</v>
      </c>
      <c r="D39" s="98"/>
      <c r="E39" s="106"/>
      <c r="F39" s="106"/>
      <c r="G39" s="107"/>
      <c r="H39" s="105"/>
      <c r="I39" s="50"/>
      <c r="J39" s="50"/>
      <c r="K39" s="50"/>
    </row>
    <row r="40" spans="1:20" x14ac:dyDescent="0.2">
      <c r="B40" s="101" t="s">
        <v>49</v>
      </c>
      <c r="C40" s="99">
        <f>'Reliquidación CD RGL'!O41</f>
        <v>0</v>
      </c>
      <c r="D40" s="98"/>
      <c r="E40" s="106"/>
      <c r="F40" s="106"/>
      <c r="G40" s="107"/>
      <c r="H40" s="105"/>
      <c r="I40" s="50"/>
      <c r="J40" s="50"/>
      <c r="K40" s="50"/>
      <c r="L40" s="50"/>
      <c r="M40" s="50"/>
      <c r="N40" s="50"/>
    </row>
    <row r="41" spans="1:20" x14ac:dyDescent="0.2">
      <c r="B41" s="42" t="s">
        <v>50</v>
      </c>
      <c r="C41" s="99">
        <f>'Reliquidación CD RGL'!O42</f>
        <v>0</v>
      </c>
      <c r="D41" s="98"/>
      <c r="E41" s="106"/>
      <c r="F41" s="106"/>
      <c r="G41" s="107"/>
      <c r="H41" s="105"/>
      <c r="I41" s="50"/>
      <c r="J41" s="50"/>
      <c r="K41" s="50"/>
      <c r="L41" s="50"/>
      <c r="M41" s="50"/>
      <c r="N41" s="50"/>
    </row>
    <row r="42" spans="1:20" x14ac:dyDescent="0.2">
      <c r="B42" s="102" t="s">
        <v>51</v>
      </c>
      <c r="C42" s="108">
        <f>'Reliquidación CD RGL'!O43</f>
        <v>2286363.255466803</v>
      </c>
      <c r="D42" s="98"/>
      <c r="E42" s="106"/>
      <c r="F42" s="106"/>
      <c r="G42" s="107"/>
      <c r="H42" s="105"/>
      <c r="I42" s="50"/>
      <c r="J42" s="50"/>
      <c r="K42" s="50"/>
    </row>
    <row r="43" spans="1:20" x14ac:dyDescent="0.2">
      <c r="B43" s="103" t="s">
        <v>66</v>
      </c>
      <c r="C43" s="104">
        <f>SUM(C8:C42)</f>
        <v>2.5238841772079468E-7</v>
      </c>
      <c r="D43" s="109"/>
      <c r="E43" s="50"/>
      <c r="F43" s="50"/>
      <c r="H43" s="105"/>
      <c r="I43" s="50"/>
      <c r="J43" s="50"/>
      <c r="K43" s="50"/>
    </row>
    <row r="44" spans="1:20" x14ac:dyDescent="0.2">
      <c r="B44" s="106"/>
      <c r="C44" s="110"/>
      <c r="E44" s="50"/>
      <c r="F44" s="50"/>
      <c r="H44" s="50"/>
      <c r="I44" s="50"/>
    </row>
    <row r="45" spans="1:20" x14ac:dyDescent="0.2">
      <c r="B45" s="106"/>
      <c r="C45" s="110"/>
      <c r="D45" s="110"/>
      <c r="H45" s="50"/>
    </row>
    <row r="46" spans="1:20" x14ac:dyDescent="0.2">
      <c r="B46" s="50"/>
      <c r="C46" s="50"/>
      <c r="D46" s="50"/>
      <c r="E46" s="107"/>
      <c r="F46" s="107"/>
      <c r="G46" s="50"/>
      <c r="H46" s="50"/>
      <c r="I46" s="50"/>
      <c r="J46" s="50"/>
      <c r="K46" s="50"/>
      <c r="L46" s="50"/>
      <c r="M46" s="50"/>
      <c r="N46" s="50"/>
      <c r="O46" s="50"/>
    </row>
    <row r="47" spans="1:20" x14ac:dyDescent="0.2">
      <c r="B47" s="111" t="s">
        <v>84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Q47" s="50"/>
      <c r="R47" s="50"/>
      <c r="S47" s="50"/>
      <c r="T47" s="50"/>
    </row>
    <row r="48" spans="1:20" x14ac:dyDescent="0.2">
      <c r="B48" s="50"/>
      <c r="C48" s="50"/>
      <c r="D48" s="50"/>
      <c r="E48" s="107"/>
      <c r="F48" s="107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2:15" x14ac:dyDescent="0.2">
      <c r="B49" s="112" t="s">
        <v>85</v>
      </c>
      <c r="C49" s="113" t="s">
        <v>86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5" t="s">
        <v>52</v>
      </c>
    </row>
    <row r="50" spans="2:15" x14ac:dyDescent="0.2">
      <c r="B50" s="116"/>
      <c r="C50" s="48" t="s">
        <v>14</v>
      </c>
      <c r="D50" s="49" t="s">
        <v>15</v>
      </c>
      <c r="E50" s="48" t="s">
        <v>82</v>
      </c>
      <c r="F50" s="49" t="s">
        <v>29</v>
      </c>
      <c r="G50" s="48" t="s">
        <v>32</v>
      </c>
      <c r="H50" s="48" t="s">
        <v>34</v>
      </c>
      <c r="I50" s="48" t="s">
        <v>35</v>
      </c>
      <c r="J50" s="49" t="s">
        <v>37</v>
      </c>
      <c r="K50" s="81" t="s">
        <v>39</v>
      </c>
      <c r="L50" s="49" t="s">
        <v>42</v>
      </c>
      <c r="M50" s="78" t="s">
        <v>45</v>
      </c>
      <c r="N50" s="49" t="s">
        <v>51</v>
      </c>
      <c r="O50" s="117"/>
    </row>
    <row r="51" spans="2:15" ht="12" customHeight="1" x14ac:dyDescent="0.2">
      <c r="B51" s="78" t="s">
        <v>16</v>
      </c>
      <c r="C51" s="118" cm="1">
        <f t="array" ref="C51">(VLOOKUP($B51,$E$8:$G$32,3,0)*(-(VLOOKUP(C$50,$E$8:$G$32,3,0))))/SUMPRODUCT(($G$8:$G$32&gt;0)*($G$8:$G$32))</f>
        <v>39313.271808024328</v>
      </c>
      <c r="D51" s="118" cm="1">
        <f t="array" ref="D51">(VLOOKUP($B51,$E$8:$G$32,3,0)*(-(VLOOKUP(D$50,$E$8:$G$32,3,0))))/SUMPRODUCT(($G$8:$G$32&gt;0)*($G$8:$G$32))</f>
        <v>363773.45833337528</v>
      </c>
      <c r="E51" s="118" cm="1">
        <f t="array" ref="E51">(VLOOKUP($B51,$E$8:$G$32,3,0)*(-(VLOOKUP(E$50,$E$8:$G$32,3,0))))/SUMPRODUCT(($G$8:$G$32&gt;0)*($G$8:$G$32))</f>
        <v>5324187.564246702</v>
      </c>
      <c r="F51" s="118" cm="1">
        <f t="array" ref="F51">(VLOOKUP($B51,$E$8:$G$32,3,0)*(-(VLOOKUP(F$50,$E$8:$G$32,3,0))))/SUMPRODUCT(($G$8:$G$32&gt;0)*($G$8:$G$32))</f>
        <v>32662.1498431006</v>
      </c>
      <c r="G51" s="118" cm="1">
        <f t="array" ref="G51">(VLOOKUP($B51,$E$8:$G$32,3,0)*(-(VLOOKUP(G$50,$E$8:$G$32,3,0))))/SUMPRODUCT(($G$8:$G$32&gt;0)*($G$8:$G$32))</f>
        <v>86137.003725541435</v>
      </c>
      <c r="H51" s="118" cm="1">
        <f t="array" ref="H51">(VLOOKUP($B51,$E$8:$G$32,3,0)*(-(VLOOKUP(H$50,$E$8:$G$32,3,0))))/SUMPRODUCT(($G$8:$G$32&gt;0)*($G$8:$G$32))</f>
        <v>50725.491627771633</v>
      </c>
      <c r="I51" s="118" cm="1">
        <f t="array" ref="I51">(VLOOKUP($B51,$E$8:$G$32,3,0)*(-(VLOOKUP(I$50,$E$8:$G$32,3,0))))/SUMPRODUCT(($G$8:$G$32&gt;0)*($G$8:$G$32))</f>
        <v>1670334.2341920708</v>
      </c>
      <c r="J51" s="118" cm="1">
        <f t="array" ref="J51">(VLOOKUP($B51,$E$8:$G$32,3,0)*(-(VLOOKUP(J$50,$E$8:$G$32,3,0))))/SUMPRODUCT(($G$8:$G$32&gt;0)*($G$8:$G$32))</f>
        <v>2213865.8997055064</v>
      </c>
      <c r="K51" s="118" cm="1">
        <f t="array" ref="K51">(VLOOKUP($B51,$E$8:$G$32,3,0)*(-(VLOOKUP(K$50,$E$8:$G$32,3,0))))/SUMPRODUCT(($G$8:$G$32&gt;0)*($G$8:$G$32))</f>
        <v>3786704.8285621325</v>
      </c>
      <c r="L51" s="118" cm="1">
        <f t="array" ref="L51">(VLOOKUP($B51,$E$8:$G$32,3,0)*(-(VLOOKUP(L$50,$E$8:$G$32,3,0))))/SUMPRODUCT(($G$8:$G$32&gt;0)*($G$8:$G$32))</f>
        <v>801841.66573283146</v>
      </c>
      <c r="M51" s="118" cm="1">
        <f t="array" ref="M51">(VLOOKUP($B51,$E$8:$G$32,3,0)*(-(VLOOKUP(M$50,$E$8:$G$32,3,0))))/SUMPRODUCT(($G$8:$G$32&gt;0)*($G$8:$G$32))</f>
        <v>184235.79244380456</v>
      </c>
      <c r="N51" s="118" cm="1">
        <f t="array" ref="N51">(VLOOKUP($B51,$E$8:$G$32,3,0)*(-(VLOOKUP(N$50,$E$8:$G$32,3,0))))/SUMPRODUCT(($G$8:$G$32&gt;0)*($G$8:$G$32))</f>
        <v>36111.363993551116</v>
      </c>
      <c r="O51" s="119">
        <f t="shared" ref="O51:O62" si="1">SUM(C51:N51)</f>
        <v>14589892.724214412</v>
      </c>
    </row>
    <row r="52" spans="2:15" x14ac:dyDescent="0.2">
      <c r="B52" s="81" t="s">
        <v>17</v>
      </c>
      <c r="C52" s="118" cm="1">
        <f t="array" ref="C52">(VLOOKUP($B52,$E$8:$G$32,3,0)*(-(VLOOKUP(C$50,$E$8:$G$32,3,0))))/SUMPRODUCT(($G$8:$G$32&gt;0)*($G$8:$G$32))</f>
        <v>7627.3072176572687</v>
      </c>
      <c r="D52" s="118" cm="1">
        <f t="array" ref="D52">(VLOOKUP($B52,$E$8:$G$32,3,0)*(-(VLOOKUP(D$50,$E$8:$G$32,3,0))))/SUMPRODUCT(($G$8:$G$32&gt;0)*($G$8:$G$32))</f>
        <v>70576.978122995264</v>
      </c>
      <c r="E52" s="118" cm="1">
        <f t="array" ref="E52">(VLOOKUP($B52,$E$8:$G$32,3,0)*(-(VLOOKUP(E$50,$E$8:$G$32,3,0))))/SUMPRODUCT(($G$8:$G$32&gt;0)*($G$8:$G$32))</f>
        <v>1032964.5020451109</v>
      </c>
      <c r="F52" s="118" cm="1">
        <f t="array" ref="F52">(VLOOKUP($B52,$E$8:$G$32,3,0)*(-(VLOOKUP(F$50,$E$8:$G$32,3,0))))/SUMPRODUCT(($G$8:$G$32&gt;0)*($G$8:$G$32))</f>
        <v>6336.8994689379961</v>
      </c>
      <c r="G52" s="118" cm="1">
        <f t="array" ref="G52">(VLOOKUP($B52,$E$8:$G$32,3,0)*(-(VLOOKUP(G$50,$E$8:$G$32,3,0))))/SUMPRODUCT(($G$8:$G$32&gt;0)*($G$8:$G$32))</f>
        <v>16711.745423566925</v>
      </c>
      <c r="H52" s="118" cm="1">
        <f t="array" ref="H52">(VLOOKUP($B52,$E$8:$G$32,3,0)*(-(VLOOKUP(H$50,$E$8:$G$32,3,0))))/SUMPRODUCT(($G$8:$G$32&gt;0)*($G$8:$G$32))</f>
        <v>9841.4324379062509</v>
      </c>
      <c r="I52" s="118" cm="1">
        <f t="array" ref="I52">(VLOOKUP($B52,$E$8:$G$32,3,0)*(-(VLOOKUP(I$50,$E$8:$G$32,3,0))))/SUMPRODUCT(($G$8:$G$32&gt;0)*($G$8:$G$32))</f>
        <v>324067.4656275438</v>
      </c>
      <c r="J52" s="118" cm="1">
        <f t="array" ref="J52">(VLOOKUP($B52,$E$8:$G$32,3,0)*(-(VLOOKUP(J$50,$E$8:$G$32,3,0))))/SUMPRODUCT(($G$8:$G$32&gt;0)*($G$8:$G$32))</f>
        <v>429519.97071641614</v>
      </c>
      <c r="K52" s="118" cm="1">
        <f t="array" ref="K52">(VLOOKUP($B52,$E$8:$G$32,3,0)*(-(VLOOKUP(K$50,$E$8:$G$32,3,0))))/SUMPRODUCT(($G$8:$G$32&gt;0)*($G$8:$G$32))</f>
        <v>734672.02656316024</v>
      </c>
      <c r="L52" s="118" cm="1">
        <f t="array" ref="L52">(VLOOKUP($B52,$E$8:$G$32,3,0)*(-(VLOOKUP(L$50,$E$8:$G$32,3,0))))/SUMPRODUCT(($G$8:$G$32&gt;0)*($G$8:$G$32))</f>
        <v>155568.14386570652</v>
      </c>
      <c r="M52" s="118" cm="1">
        <f t="array" ref="M52">(VLOOKUP($B52,$E$8:$G$32,3,0)*(-(VLOOKUP(M$50,$E$8:$G$32,3,0))))/SUMPRODUCT(($G$8:$G$32&gt;0)*($G$8:$G$32))</f>
        <v>35744.239154641247</v>
      </c>
      <c r="N52" s="118" cm="1">
        <f t="array" ref="N52">(VLOOKUP($B52,$E$8:$G$32,3,0)*(-(VLOOKUP(N$50,$E$8:$G$32,3,0))))/SUMPRODUCT(($G$8:$G$32&gt;0)*($G$8:$G$32))</f>
        <v>7006.0937327338424</v>
      </c>
      <c r="O52" s="119">
        <f t="shared" si="1"/>
        <v>2830636.8043763759</v>
      </c>
    </row>
    <row r="53" spans="2:15" x14ac:dyDescent="0.2">
      <c r="B53" s="81" t="s">
        <v>83</v>
      </c>
      <c r="C53" s="118" cm="1">
        <f t="array" ref="C53">(VLOOKUP($B53,$E$8:$G$32,3,0)*(-(VLOOKUP(C$50,$E$8:$G$32,3,0))))/SUMPRODUCT(($G$8:$G$32&gt;0)*($G$8:$G$32))</f>
        <v>2191304.0406637974</v>
      </c>
      <c r="D53" s="118" cm="1">
        <f t="array" ref="D53">(VLOOKUP($B53,$E$8:$G$32,3,0)*(-(VLOOKUP(D$50,$E$8:$G$32,3,0))))/SUMPRODUCT(($G$8:$G$32&gt;0)*($G$8:$G$32))</f>
        <v>20276568.509097308</v>
      </c>
      <c r="E53" s="118" cm="1">
        <f t="array" ref="E53">(VLOOKUP($B53,$E$8:$G$32,3,0)*(-(VLOOKUP(E$50,$E$8:$G$32,3,0))))/SUMPRODUCT(($G$8:$G$32&gt;0)*($G$8:$G$32))</f>
        <v>296767813.67264324</v>
      </c>
      <c r="F53" s="118" cm="1">
        <f t="array" ref="F53">(VLOOKUP($B53,$E$8:$G$32,3,0)*(-(VLOOKUP(F$50,$E$8:$G$32,3,0))))/SUMPRODUCT(($G$8:$G$32&gt;0)*($G$8:$G$32))</f>
        <v>1820573.5019323402</v>
      </c>
      <c r="G53" s="118" cm="1">
        <f t="array" ref="G53">(VLOOKUP($B53,$E$8:$G$32,3,0)*(-(VLOOKUP(G$50,$E$8:$G$32,3,0))))/SUMPRODUCT(($G$8:$G$32&gt;0)*($G$8:$G$32))</f>
        <v>4801237.7406839198</v>
      </c>
      <c r="H53" s="118" cm="1">
        <f t="array" ref="H53">(VLOOKUP($B53,$E$8:$G$32,3,0)*(-(VLOOKUP(H$50,$E$8:$G$32,3,0))))/SUMPRODUCT(($G$8:$G$32&gt;0)*($G$8:$G$32))</f>
        <v>2827416.0266128127</v>
      </c>
      <c r="I53" s="118" cm="1">
        <f t="array" ref="I53">(VLOOKUP($B53,$E$8:$G$32,3,0)*(-(VLOOKUP(I$50,$E$8:$G$32,3,0))))/SUMPRODUCT(($G$8:$G$32&gt;0)*($G$8:$G$32))</f>
        <v>93103676.90885146</v>
      </c>
      <c r="J53" s="118" cm="1">
        <f t="array" ref="J53">(VLOOKUP($B53,$E$8:$G$32,3,0)*(-(VLOOKUP(J$50,$E$8:$G$32,3,0))))/SUMPRODUCT(($G$8:$G$32&gt;0)*($G$8:$G$32))</f>
        <v>123399886.8169062</v>
      </c>
      <c r="K53" s="118" cm="1">
        <f t="array" ref="K53">(VLOOKUP($B53,$E$8:$G$32,3,0)*(-(VLOOKUP(K$50,$E$8:$G$32,3,0))))/SUMPRODUCT(($G$8:$G$32&gt;0)*($G$8:$G$32))</f>
        <v>211069219.37582481</v>
      </c>
      <c r="L53" s="118" cm="1">
        <f t="array" ref="L53">(VLOOKUP($B53,$E$8:$G$32,3,0)*(-(VLOOKUP(L$50,$E$8:$G$32,3,0))))/SUMPRODUCT(($G$8:$G$32&gt;0)*($G$8:$G$32))</f>
        <v>44694292.824905567</v>
      </c>
      <c r="M53" s="118" cm="1">
        <f t="array" ref="M53">(VLOOKUP($B53,$E$8:$G$32,3,0)*(-(VLOOKUP(M$50,$E$8:$G$32,3,0))))/SUMPRODUCT(($G$8:$G$32&gt;0)*($G$8:$G$32))</f>
        <v>10269219.982209727</v>
      </c>
      <c r="N53" s="118" cm="1">
        <f t="array" ref="N53">(VLOOKUP($B53,$E$8:$G$32,3,0)*(-(VLOOKUP(N$50,$E$8:$G$32,3,0))))/SUMPRODUCT(($G$8:$G$32&gt;0)*($G$8:$G$32))</f>
        <v>2012831.1431153419</v>
      </c>
      <c r="O53" s="119">
        <f t="shared" si="1"/>
        <v>813234040.54344642</v>
      </c>
    </row>
    <row r="54" spans="2:15" x14ac:dyDescent="0.2">
      <c r="B54" s="81" t="s">
        <v>30</v>
      </c>
      <c r="C54" s="118" cm="1">
        <f t="array" ref="C54">(VLOOKUP($B54,$E$8:$G$32,3,0)*(-(VLOOKUP(C$50,$E$8:$G$32,3,0))))/SUMPRODUCT(($G$8:$G$32&gt;0)*($G$8:$G$32))</f>
        <v>72622.734389151476</v>
      </c>
      <c r="D54" s="118" cm="1">
        <f t="array" ref="D54">(VLOOKUP($B54,$E$8:$G$32,3,0)*(-(VLOOKUP(D$50,$E$8:$G$32,3,0))))/SUMPRODUCT(($G$8:$G$32&gt;0)*($G$8:$G$32))</f>
        <v>671992.48567694868</v>
      </c>
      <c r="E54" s="118" cm="1">
        <f t="array" ref="E54">(VLOOKUP($B54,$E$8:$G$32,3,0)*(-(VLOOKUP(E$50,$E$8:$G$32,3,0))))/SUMPRODUCT(($G$8:$G$32&gt;0)*($G$8:$G$32))</f>
        <v>9835280.5944121424</v>
      </c>
      <c r="F54" s="118" cm="1">
        <f t="array" ref="F54">(VLOOKUP($B54,$E$8:$G$32,3,0)*(-(VLOOKUP(F$50,$E$8:$G$32,3,0))))/SUMPRODUCT(($G$8:$G$32&gt;0)*($G$8:$G$32))</f>
        <v>60336.230579262126</v>
      </c>
      <c r="G54" s="118" cm="1">
        <f t="array" ref="G54">(VLOOKUP($B54,$E$8:$G$32,3,0)*(-(VLOOKUP(G$50,$E$8:$G$32,3,0))))/SUMPRODUCT(($G$8:$G$32&gt;0)*($G$8:$G$32))</f>
        <v>159119.413239997</v>
      </c>
      <c r="H54" s="118" cm="1">
        <f t="array" ref="H54">(VLOOKUP($B54,$E$8:$G$32,3,0)*(-(VLOOKUP(H$50,$E$8:$G$32,3,0))))/SUMPRODUCT(($G$8:$G$32&gt;0)*($G$8:$G$32))</f>
        <v>93704.332807295694</v>
      </c>
      <c r="I54" s="118" cm="1">
        <f t="array" ref="I54">(VLOOKUP($B54,$E$8:$G$32,3,0)*(-(VLOOKUP(I$50,$E$8:$G$32,3,0))))/SUMPRODUCT(($G$8:$G$32&gt;0)*($G$8:$G$32))</f>
        <v>3085579.8526053438</v>
      </c>
      <c r="J54" s="118" cm="1">
        <f t="array" ref="J54">(VLOOKUP($B54,$E$8:$G$32,3,0)*(-(VLOOKUP(J$50,$E$8:$G$32,3,0))))/SUMPRODUCT(($G$8:$G$32&gt;0)*($G$8:$G$32))</f>
        <v>4089636.598872351</v>
      </c>
      <c r="K54" s="118" cm="1">
        <f t="array" ref="K54">(VLOOKUP($B54,$E$8:$G$32,3,0)*(-(VLOOKUP(K$50,$E$8:$G$32,3,0))))/SUMPRODUCT(($G$8:$G$32&gt;0)*($G$8:$G$32))</f>
        <v>6995115.0420060959</v>
      </c>
      <c r="L54" s="118" cm="1">
        <f t="array" ref="L54">(VLOOKUP($B54,$E$8:$G$32,3,0)*(-(VLOOKUP(L$50,$E$8:$G$32,3,0))))/SUMPRODUCT(($G$8:$G$32&gt;0)*($G$8:$G$32))</f>
        <v>1481228.3901739349</v>
      </c>
      <c r="M54" s="118" cm="1">
        <f t="array" ref="M54">(VLOOKUP($B54,$E$8:$G$32,3,0)*(-(VLOOKUP(M$50,$E$8:$G$32,3,0))))/SUMPRODUCT(($G$8:$G$32&gt;0)*($G$8:$G$32))</f>
        <v>340335.62723950885</v>
      </c>
      <c r="N54" s="118" cm="1">
        <f t="array" ref="N54">(VLOOKUP($B54,$E$8:$G$32,3,0)*(-(VLOOKUP(N$50,$E$8:$G$32,3,0))))/SUMPRODUCT(($G$8:$G$32&gt;0)*($G$8:$G$32))</f>
        <v>66707.90486581545</v>
      </c>
      <c r="O54" s="119">
        <f t="shared" si="1"/>
        <v>26951659.206867851</v>
      </c>
    </row>
    <row r="55" spans="2:15" x14ac:dyDescent="0.2">
      <c r="B55" s="81" t="s">
        <v>31</v>
      </c>
      <c r="C55" s="118" cm="1">
        <f t="array" ref="C55">(VLOOKUP($B55,$E$8:$G$32,3,0)*(-(VLOOKUP(C$50,$E$8:$G$32,3,0))))/SUMPRODUCT(($G$8:$G$32&gt;0)*($G$8:$G$32))</f>
        <v>48763.683400444934</v>
      </c>
      <c r="D55" s="118" cm="1">
        <f t="array" ref="D55">(VLOOKUP($B55,$E$8:$G$32,3,0)*(-(VLOOKUP(D$50,$E$8:$G$32,3,0))))/SUMPRODUCT(($G$8:$G$32&gt;0)*($G$8:$G$32))</f>
        <v>451219.98083184025</v>
      </c>
      <c r="E55" s="118" cm="1">
        <f t="array" ref="E55">(VLOOKUP($B55,$E$8:$G$32,3,0)*(-(VLOOKUP(E$50,$E$8:$G$32,3,0))))/SUMPRODUCT(($G$8:$G$32&gt;0)*($G$8:$G$32))</f>
        <v>6604054.6819743244</v>
      </c>
      <c r="F55" s="118" cm="1">
        <f t="array" ref="F55">(VLOOKUP($B55,$E$8:$G$32,3,0)*(-(VLOOKUP(F$50,$E$8:$G$32,3,0))))/SUMPRODUCT(($G$8:$G$32&gt;0)*($G$8:$G$32))</f>
        <v>40513.716128855878</v>
      </c>
      <c r="G55" s="118" cm="1">
        <f t="array" ref="G55">(VLOOKUP($B55,$E$8:$G$32,3,0)*(-(VLOOKUP(G$50,$E$8:$G$32,3,0))))/SUMPRODUCT(($G$8:$G$32&gt;0)*($G$8:$G$32))</f>
        <v>106843.24620058469</v>
      </c>
      <c r="H55" s="118" cm="1">
        <f t="array" ref="H55">(VLOOKUP($B55,$E$8:$G$32,3,0)*(-(VLOOKUP(H$50,$E$8:$G$32,3,0))))/SUMPRODUCT(($G$8:$G$32&gt;0)*($G$8:$G$32))</f>
        <v>62919.256024976574</v>
      </c>
      <c r="I55" s="118" cm="1">
        <f t="array" ref="I55">(VLOOKUP($B55,$E$8:$G$32,3,0)*(-(VLOOKUP(I$50,$E$8:$G$32,3,0))))/SUMPRODUCT(($G$8:$G$32&gt;0)*($G$8:$G$32))</f>
        <v>2071861.3847968134</v>
      </c>
      <c r="J55" s="118" cm="1">
        <f t="array" ref="J55">(VLOOKUP($B55,$E$8:$G$32,3,0)*(-(VLOOKUP(J$50,$E$8:$G$32,3,0))))/SUMPRODUCT(($G$8:$G$32&gt;0)*($G$8:$G$32))</f>
        <v>2746051.164386814</v>
      </c>
      <c r="K55" s="118" cm="1">
        <f t="array" ref="K55">(VLOOKUP($B55,$E$8:$G$32,3,0)*(-(VLOOKUP(K$50,$E$8:$G$32,3,0))))/SUMPRODUCT(($G$8:$G$32&gt;0)*($G$8:$G$32))</f>
        <v>4696980.6098216902</v>
      </c>
      <c r="L55" s="118" cm="1">
        <f t="array" ref="L55">(VLOOKUP($B55,$E$8:$G$32,3,0)*(-(VLOOKUP(L$50,$E$8:$G$32,3,0))))/SUMPRODUCT(($G$8:$G$32&gt;0)*($G$8:$G$32))</f>
        <v>994594.22548240435</v>
      </c>
      <c r="M55" s="118" cm="1">
        <f t="array" ref="M55">(VLOOKUP($B55,$E$8:$G$32,3,0)*(-(VLOOKUP(M$50,$E$8:$G$32,3,0))))/SUMPRODUCT(($G$8:$G$32&gt;0)*($G$8:$G$32))</f>
        <v>228523.73869137044</v>
      </c>
      <c r="N55" s="118" cm="1">
        <f t="array" ref="N55">(VLOOKUP($B55,$E$8:$G$32,3,0)*(-(VLOOKUP(N$50,$E$8:$G$32,3,0))))/SUMPRODUCT(($G$8:$G$32&gt;0)*($G$8:$G$32))</f>
        <v>44792.077584860985</v>
      </c>
      <c r="O55" s="119">
        <f t="shared" si="1"/>
        <v>18097117.765324984</v>
      </c>
    </row>
    <row r="56" spans="2:15" x14ac:dyDescent="0.2">
      <c r="B56" s="81" t="s">
        <v>33</v>
      </c>
      <c r="C56" s="118" cm="1">
        <f t="array" ref="C56">(VLOOKUP($B56,$E$8:$G$32,3,0)*(-(VLOOKUP(C$50,$E$8:$G$32,3,0))))/SUMPRODUCT(($G$8:$G$32&gt;0)*($G$8:$G$32))</f>
        <v>10919.172812291734</v>
      </c>
      <c r="D56" s="118" cm="1">
        <f t="array" ref="D56">(VLOOKUP($B56,$E$8:$G$32,3,0)*(-(VLOOKUP(D$50,$E$8:$G$32,3,0))))/SUMPRODUCT(($G$8:$G$32&gt;0)*($G$8:$G$32))</f>
        <v>101037.25976977516</v>
      </c>
      <c r="E56" s="118" cm="1">
        <f t="array" ref="E56">(VLOOKUP($B56,$E$8:$G$32,3,0)*(-(VLOOKUP(E$50,$E$8:$G$32,3,0))))/SUMPRODUCT(($G$8:$G$32&gt;0)*($G$8:$G$32))</f>
        <v>1478781.1195912247</v>
      </c>
      <c r="F56" s="118" cm="1">
        <f t="array" ref="F56">(VLOOKUP($B56,$E$8:$G$32,3,0)*(-(VLOOKUP(F$50,$E$8:$G$32,3,0))))/SUMPRODUCT(($G$8:$G$32&gt;0)*($G$8:$G$32))</f>
        <v>9071.8386477562908</v>
      </c>
      <c r="G56" s="118" cm="1">
        <f t="array" ref="G56">(VLOOKUP($B56,$E$8:$G$32,3,0)*(-(VLOOKUP(G$50,$E$8:$G$32,3,0))))/SUMPRODUCT(($G$8:$G$32&gt;0)*($G$8:$G$32))</f>
        <v>23924.359025753412</v>
      </c>
      <c r="H56" s="118" cm="1">
        <f t="array" ref="H56">(VLOOKUP($B56,$E$8:$G$32,3,0)*(-(VLOOKUP(H$50,$E$8:$G$32,3,0))))/SUMPRODUCT(($G$8:$G$32&gt;0)*($G$8:$G$32))</f>
        <v>14088.891196256076</v>
      </c>
      <c r="I56" s="118" cm="1">
        <f t="array" ref="I56">(VLOOKUP($B56,$E$8:$G$32,3,0)*(-(VLOOKUP(I$50,$E$8:$G$32,3,0))))/SUMPRODUCT(($G$8:$G$32&gt;0)*($G$8:$G$32))</f>
        <v>463931.57624971471</v>
      </c>
      <c r="J56" s="118" cm="1">
        <f t="array" ref="J56">(VLOOKUP($B56,$E$8:$G$32,3,0)*(-(VLOOKUP(J$50,$E$8:$G$32,3,0))))/SUMPRODUCT(($G$8:$G$32&gt;0)*($G$8:$G$32))</f>
        <v>614896.27371054934</v>
      </c>
      <c r="K56" s="118" cm="1">
        <f t="array" ref="K56">(VLOOKUP($B56,$E$8:$G$32,3,0)*(-(VLOOKUP(K$50,$E$8:$G$32,3,0))))/SUMPRODUCT(($G$8:$G$32&gt;0)*($G$8:$G$32))</f>
        <v>1051748.7482120453</v>
      </c>
      <c r="L56" s="118" cm="1">
        <f t="array" ref="L56">(VLOOKUP($B56,$E$8:$G$32,3,0)*(-(VLOOKUP(L$50,$E$8:$G$32,3,0))))/SUMPRODUCT(($G$8:$G$32&gt;0)*($G$8:$G$32))</f>
        <v>222709.71897194156</v>
      </c>
      <c r="M56" s="118" cm="1">
        <f t="array" ref="M56">(VLOOKUP($B56,$E$8:$G$32,3,0)*(-(VLOOKUP(M$50,$E$8:$G$32,3,0))))/SUMPRODUCT(($G$8:$G$32&gt;0)*($G$8:$G$32))</f>
        <v>51171.076926057336</v>
      </c>
      <c r="N56" s="118" cm="1">
        <f t="array" ref="N56">(VLOOKUP($B56,$E$8:$G$32,3,0)*(-(VLOOKUP(N$50,$E$8:$G$32,3,0))))/SUMPRODUCT(($G$8:$G$32&gt;0)*($G$8:$G$32))</f>
        <v>10029.850119283923</v>
      </c>
      <c r="O56" s="119">
        <f t="shared" si="1"/>
        <v>4052309.8852326493</v>
      </c>
    </row>
    <row r="57" spans="2:15" x14ac:dyDescent="0.2">
      <c r="B57" s="81" t="s">
        <v>38</v>
      </c>
      <c r="C57" s="118" cm="1">
        <f t="array" ref="C57">(VLOOKUP($B57,$E$8:$G$32,3,0)*(-(VLOOKUP(C$50,$E$8:$G$32,3,0))))/SUMPRODUCT(($G$8:$G$32&gt;0)*($G$8:$G$32))</f>
        <v>10243.982657576376</v>
      </c>
      <c r="D57" s="118" cm="1">
        <f t="array" ref="D57">(VLOOKUP($B57,$E$8:$G$32,3,0)*(-(VLOOKUP(D$50,$E$8:$G$32,3,0))))/SUMPRODUCT(($G$8:$G$32&gt;0)*($G$8:$G$32))</f>
        <v>94789.592091214785</v>
      </c>
      <c r="E57" s="118" cm="1">
        <f t="array" ref="E57">(VLOOKUP($B57,$E$8:$G$32,3,0)*(-(VLOOKUP(E$50,$E$8:$G$32,3,0))))/SUMPRODUCT(($G$8:$G$32&gt;0)*($G$8:$G$32))</f>
        <v>1387340.2687052509</v>
      </c>
      <c r="F57" s="118" cm="1">
        <f t="array" ref="F57">(VLOOKUP($B57,$E$8:$G$32,3,0)*(-(VLOOKUP(F$50,$E$8:$G$32,3,0))))/SUMPRODUCT(($G$8:$G$32&gt;0)*($G$8:$G$32))</f>
        <v>8510.878926225354</v>
      </c>
      <c r="G57" s="118" cm="1">
        <f t="array" ref="G57">(VLOOKUP($B57,$E$8:$G$32,3,0)*(-(VLOOKUP(G$50,$E$8:$G$32,3,0))))/SUMPRODUCT(($G$8:$G$32&gt;0)*($G$8:$G$32))</f>
        <v>22444.989484694383</v>
      </c>
      <c r="H57" s="118" cm="1">
        <f t="array" ref="H57">(VLOOKUP($B57,$E$8:$G$32,3,0)*(-(VLOOKUP(H$50,$E$8:$G$32,3,0))))/SUMPRODUCT(($G$8:$G$32&gt;0)*($G$8:$G$32))</f>
        <v>13217.700604249001</v>
      </c>
      <c r="I57" s="118" cm="1">
        <f t="array" ref="I57">(VLOOKUP($B57,$E$8:$G$32,3,0)*(-(VLOOKUP(I$50,$E$8:$G$32,3,0))))/SUMPRODUCT(($G$8:$G$32&gt;0)*($G$8:$G$32))</f>
        <v>435244.23535583605</v>
      </c>
      <c r="J57" s="118" cm="1">
        <f t="array" ref="J57">(VLOOKUP($B57,$E$8:$G$32,3,0)*(-(VLOOKUP(J$50,$E$8:$G$32,3,0))))/SUMPRODUCT(($G$8:$G$32&gt;0)*($G$8:$G$32))</f>
        <v>576873.98783618689</v>
      </c>
      <c r="K57" s="118" cm="1">
        <f t="array" ref="K57">(VLOOKUP($B57,$E$8:$G$32,3,0)*(-(VLOOKUP(K$50,$E$8:$G$32,3,0))))/SUMPRODUCT(($G$8:$G$32&gt;0)*($G$8:$G$32))</f>
        <v>986713.5653978691</v>
      </c>
      <c r="L57" s="118" cm="1">
        <f t="array" ref="L57">(VLOOKUP($B57,$E$8:$G$32,3,0)*(-(VLOOKUP(L$50,$E$8:$G$32,3,0))))/SUMPRODUCT(($G$8:$G$32&gt;0)*($G$8:$G$32))</f>
        <v>208938.4001921888</v>
      </c>
      <c r="M57" s="118" cm="1">
        <f t="array" ref="M57">(VLOOKUP($B57,$E$8:$G$32,3,0)*(-(VLOOKUP(M$50,$E$8:$G$32,3,0))))/SUMPRODUCT(($G$8:$G$32&gt;0)*($G$8:$G$32))</f>
        <v>48006.898838522815</v>
      </c>
      <c r="N57" s="118" cm="1">
        <f t="array" ref="N57">(VLOOKUP($B57,$E$8:$G$32,3,0)*(-(VLOOKUP(N$50,$E$8:$G$32,3,0))))/SUMPRODUCT(($G$8:$G$32&gt;0)*($G$8:$G$32))</f>
        <v>9409.6514860882053</v>
      </c>
      <c r="O57" s="119">
        <f t="shared" si="1"/>
        <v>3801734.1515759029</v>
      </c>
    </row>
    <row r="58" spans="2:15" x14ac:dyDescent="0.2">
      <c r="B58" s="81" t="s">
        <v>40</v>
      </c>
      <c r="C58" s="118" cm="1">
        <f t="array" ref="C58">(VLOOKUP($B58,$E$8:$G$32,3,0)*(-(VLOOKUP(C$50,$E$8:$G$32,3,0))))/SUMPRODUCT(($G$8:$G$32&gt;0)*($G$8:$G$32))</f>
        <v>16479.829718167643</v>
      </c>
      <c r="D58" s="118" cm="1">
        <f t="array" ref="D58">(VLOOKUP($B58,$E$8:$G$32,3,0)*(-(VLOOKUP(D$50,$E$8:$G$32,3,0))))/SUMPRODUCT(($G$8:$G$32&gt;0)*($G$8:$G$32))</f>
        <v>152491.11492418035</v>
      </c>
      <c r="E58" s="118" cm="1">
        <f t="array" ref="E58">(VLOOKUP($B58,$E$8:$G$32,3,0)*(-(VLOOKUP(E$50,$E$8:$G$32,3,0))))/SUMPRODUCT(($G$8:$G$32&gt;0)*($G$8:$G$32))</f>
        <v>2231859.6344469665</v>
      </c>
      <c r="F58" s="118" cm="1">
        <f t="array" ref="F58">(VLOOKUP($B58,$E$8:$G$32,3,0)*(-(VLOOKUP(F$50,$E$8:$G$32,3,0))))/SUMPRODUCT(($G$8:$G$32&gt;0)*($G$8:$G$32))</f>
        <v>13691.729100341809</v>
      </c>
      <c r="G58" s="118" cm="1">
        <f t="array" ref="G58">(VLOOKUP($B58,$E$8:$G$32,3,0)*(-(VLOOKUP(G$50,$E$8:$G$32,3,0))))/SUMPRODUCT(($G$8:$G$32&gt;0)*($G$8:$G$32))</f>
        <v>36107.988181750676</v>
      </c>
      <c r="H58" s="118" cm="1">
        <f t="array" ref="H58">(VLOOKUP($B58,$E$8:$G$32,3,0)*(-(VLOOKUP(H$50,$E$8:$G$32,3,0))))/SUMPRODUCT(($G$8:$G$32&gt;0)*($G$8:$G$32))</f>
        <v>21263.746972730663</v>
      </c>
      <c r="I58" s="118" cm="1">
        <f t="array" ref="I58">(VLOOKUP($B58,$E$8:$G$32,3,0)*(-(VLOOKUP(I$50,$E$8:$G$32,3,0))))/SUMPRODUCT(($G$8:$G$32&gt;0)*($G$8:$G$32))</f>
        <v>700191.62704979221</v>
      </c>
      <c r="J58" s="118" cm="1">
        <f t="array" ref="J58">(VLOOKUP($B58,$E$8:$G$32,3,0)*(-(VLOOKUP(J$50,$E$8:$G$32,3,0))))/SUMPRODUCT(($G$8:$G$32&gt;0)*($G$8:$G$32))</f>
        <v>928036.03892764507</v>
      </c>
      <c r="K58" s="118" cm="1">
        <f t="array" ref="K58">(VLOOKUP($B58,$E$8:$G$32,3,0)*(-(VLOOKUP(K$50,$E$8:$G$32,3,0))))/SUMPRODUCT(($G$8:$G$32&gt;0)*($G$8:$G$32))</f>
        <v>1587358.3626517104</v>
      </c>
      <c r="L58" s="118" cm="1">
        <f t="array" ref="L58">(VLOOKUP($B58,$E$8:$G$32,3,0)*(-(VLOOKUP(L$50,$E$8:$G$32,3,0))))/SUMPRODUCT(($G$8:$G$32&gt;0)*($G$8:$G$32))</f>
        <v>336126.03338478116</v>
      </c>
      <c r="M58" s="118" cm="1">
        <f t="array" ref="M58">(VLOOKUP($B58,$E$8:$G$32,3,0)*(-(VLOOKUP(M$50,$E$8:$G$32,3,0))))/SUMPRODUCT(($G$8:$G$32&gt;0)*($G$8:$G$32))</f>
        <v>77230.267231175982</v>
      </c>
      <c r="N58" s="118" cm="1">
        <f t="array" ref="N58">(VLOOKUP($B58,$E$8:$G$32,3,0)*(-(VLOOKUP(N$50,$E$8:$G$32,3,0))))/SUMPRODUCT(($G$8:$G$32&gt;0)*($G$8:$G$32))</f>
        <v>15137.613893103233</v>
      </c>
      <c r="O58" s="119">
        <f t="shared" si="1"/>
        <v>6115973.9864823455</v>
      </c>
    </row>
    <row r="59" spans="2:15" x14ac:dyDescent="0.2">
      <c r="B59" s="81" t="s">
        <v>41</v>
      </c>
      <c r="C59" s="118" cm="1">
        <f t="array" ref="C59">(VLOOKUP($B59,$E$8:$G$32,3,0)*(-(VLOOKUP(C$50,$E$8:$G$32,3,0))))/SUMPRODUCT(($G$8:$G$32&gt;0)*($G$8:$G$32))</f>
        <v>41384.464946950553</v>
      </c>
      <c r="D59" s="118" cm="1">
        <f t="array" ref="D59">(VLOOKUP($B59,$E$8:$G$32,3,0)*(-(VLOOKUP(D$50,$E$8:$G$32,3,0))))/SUMPRODUCT(($G$8:$G$32&gt;0)*($G$8:$G$32))</f>
        <v>382938.61697758071</v>
      </c>
      <c r="E59" s="118" cm="1">
        <f t="array" ref="E59">(VLOOKUP($B59,$E$8:$G$32,3,0)*(-(VLOOKUP(E$50,$E$8:$G$32,3,0))))/SUMPRODUCT(($G$8:$G$32&gt;0)*($G$8:$G$32))</f>
        <v>5604688.7854951778</v>
      </c>
      <c r="F59" s="118" cm="1">
        <f t="array" ref="F59">(VLOOKUP($B59,$E$8:$G$32,3,0)*(-(VLOOKUP(F$50,$E$8:$G$32,3,0))))/SUMPRODUCT(($G$8:$G$32&gt;0)*($G$8:$G$32))</f>
        <v>34382.93311924101</v>
      </c>
      <c r="G59" s="118" cm="1">
        <f t="array" ref="G59">(VLOOKUP($B59,$E$8:$G$32,3,0)*(-(VLOOKUP(G$50,$E$8:$G$32,3,0))))/SUMPRODUCT(($G$8:$G$32&gt;0)*($G$8:$G$32))</f>
        <v>90675.073515184064</v>
      </c>
      <c r="H59" s="118" cm="1">
        <f t="array" ref="H59">(VLOOKUP($B59,$E$8:$G$32,3,0)*(-(VLOOKUP(H$50,$E$8:$G$32,3,0))))/SUMPRODUCT(($G$8:$G$32&gt;0)*($G$8:$G$32))</f>
        <v>53397.929850190354</v>
      </c>
      <c r="I59" s="118" cm="1">
        <f t="array" ref="I59">(VLOOKUP($B59,$E$8:$G$32,3,0)*(-(VLOOKUP(I$50,$E$8:$G$32,3,0))))/SUMPRODUCT(($G$8:$G$32&gt;0)*($G$8:$G$32))</f>
        <v>1758334.6637280851</v>
      </c>
      <c r="J59" s="118" cm="1">
        <f t="array" ref="J59">(VLOOKUP($B59,$E$8:$G$32,3,0)*(-(VLOOKUP(J$50,$E$8:$G$32,3,0))))/SUMPRODUCT(($G$8:$G$32&gt;0)*($G$8:$G$32))</f>
        <v>2330501.9274664135</v>
      </c>
      <c r="K59" s="118" cm="1">
        <f t="array" ref="K59">(VLOOKUP($B59,$E$8:$G$32,3,0)*(-(VLOOKUP(K$50,$E$8:$G$32,3,0))))/SUMPRODUCT(($G$8:$G$32&gt;0)*($G$8:$G$32))</f>
        <v>3986204.8116303408</v>
      </c>
      <c r="L59" s="118" cm="1">
        <f t="array" ref="L59">(VLOOKUP($B59,$E$8:$G$32,3,0)*(-(VLOOKUP(L$50,$E$8:$G$32,3,0))))/SUMPRODUCT(($G$8:$G$32&gt;0)*($G$8:$G$32))</f>
        <v>844086.15163268056</v>
      </c>
      <c r="M59" s="118" cm="1">
        <f t="array" ref="M59">(VLOOKUP($B59,$E$8:$G$32,3,0)*(-(VLOOKUP(M$50,$E$8:$G$32,3,0))))/SUMPRODUCT(($G$8:$G$32&gt;0)*($G$8:$G$32))</f>
        <v>193942.13057606752</v>
      </c>
      <c r="N59" s="118" cm="1">
        <f t="array" ref="N59">(VLOOKUP($B59,$E$8:$G$32,3,0)*(-(VLOOKUP(N$50,$E$8:$G$32,3,0))))/SUMPRODUCT(($G$8:$G$32&gt;0)*($G$8:$G$32))</f>
        <v>38013.866784617327</v>
      </c>
      <c r="O59" s="119">
        <f t="shared" si="1"/>
        <v>15358551.355722528</v>
      </c>
    </row>
    <row r="60" spans="2:15" x14ac:dyDescent="0.2">
      <c r="B60" s="81" t="s">
        <v>43</v>
      </c>
      <c r="C60" s="118" cm="1">
        <f t="array" ref="C60">(VLOOKUP($B60,$E$8:$G$32,3,0)*(-(VLOOKUP(C$50,$E$8:$G$32,3,0))))/SUMPRODUCT(($G$8:$G$32&gt;0)*($G$8:$G$32))</f>
        <v>48978.01133439978</v>
      </c>
      <c r="D60" s="118" cm="1">
        <f t="array" ref="D60">(VLOOKUP($B60,$E$8:$G$32,3,0)*(-(VLOOKUP(D$50,$E$8:$G$32,3,0))))/SUMPRODUCT(($G$8:$G$32&gt;0)*($G$8:$G$32))</f>
        <v>453203.19947955117</v>
      </c>
      <c r="E60" s="118" cm="1">
        <f t="array" ref="E60">(VLOOKUP($B60,$E$8:$G$32,3,0)*(-(VLOOKUP(E$50,$E$8:$G$32,3,0))))/SUMPRODUCT(($G$8:$G$32&gt;0)*($G$8:$G$32))</f>
        <v>6633081.065893868</v>
      </c>
      <c r="F60" s="118" cm="1">
        <f t="array" ref="F60">(VLOOKUP($B60,$E$8:$G$32,3,0)*(-(VLOOKUP(F$50,$E$8:$G$32,3,0))))/SUMPRODUCT(($G$8:$G$32&gt;0)*($G$8:$G$32))</f>
        <v>40691.783503369501</v>
      </c>
      <c r="G60" s="118" cm="1">
        <f t="array" ref="G60">(VLOOKUP($B60,$E$8:$G$32,3,0)*(-(VLOOKUP(G$50,$E$8:$G$32,3,0))))/SUMPRODUCT(($G$8:$G$32&gt;0)*($G$8:$G$32))</f>
        <v>107312.84756410662</v>
      </c>
      <c r="H60" s="118" cm="1">
        <f t="array" ref="H60">(VLOOKUP($B60,$E$8:$G$32,3,0)*(-(VLOOKUP(H$50,$E$8:$G$32,3,0))))/SUMPRODUCT(($G$8:$G$32&gt;0)*($G$8:$G$32))</f>
        <v>63195.801052124516</v>
      </c>
      <c r="I60" s="118" cm="1">
        <f t="array" ref="I60">(VLOOKUP($B60,$E$8:$G$32,3,0)*(-(VLOOKUP(I$50,$E$8:$G$32,3,0))))/SUMPRODUCT(($G$8:$G$32&gt;0)*($G$8:$G$32))</f>
        <v>2080967.7061220042</v>
      </c>
      <c r="J60" s="118" cm="1">
        <f t="array" ref="J60">(VLOOKUP($B60,$E$8:$G$32,3,0)*(-(VLOOKUP(J$50,$E$8:$G$32,3,0))))/SUMPRODUCT(($G$8:$G$32&gt;0)*($G$8:$G$32))</f>
        <v>2758120.7094161371</v>
      </c>
      <c r="K60" s="118" cm="1">
        <f t="array" ref="K60">(VLOOKUP($B60,$E$8:$G$32,3,0)*(-(VLOOKUP(K$50,$E$8:$G$32,3,0))))/SUMPRODUCT(($G$8:$G$32&gt;0)*($G$8:$G$32))</f>
        <v>4717624.9516705647</v>
      </c>
      <c r="L60" s="118" cm="1">
        <f t="array" ref="L60">(VLOOKUP($B60,$E$8:$G$32,3,0)*(-(VLOOKUP(L$50,$E$8:$G$32,3,0))))/SUMPRODUCT(($G$8:$G$32&gt;0)*($G$8:$G$32))</f>
        <v>998965.70258598006</v>
      </c>
      <c r="M60" s="118" cm="1">
        <f t="array" ref="M60">(VLOOKUP($B60,$E$8:$G$32,3,0)*(-(VLOOKUP(M$50,$E$8:$G$32,3,0))))/SUMPRODUCT(($G$8:$G$32&gt;0)*($G$8:$G$32))</f>
        <v>229528.15462876274</v>
      </c>
      <c r="N60" s="118" cm="1">
        <f t="array" ref="N60">(VLOOKUP($B60,$E$8:$G$32,3,0)*(-(VLOOKUP(N$50,$E$8:$G$32,3,0))))/SUMPRODUCT(($G$8:$G$32&gt;0)*($G$8:$G$32))</f>
        <v>44988.949370929156</v>
      </c>
      <c r="O60" s="119">
        <f t="shared" si="1"/>
        <v>18176658.882621795</v>
      </c>
    </row>
    <row r="61" spans="2:15" x14ac:dyDescent="0.2">
      <c r="B61" s="81" t="s">
        <v>36</v>
      </c>
      <c r="C61" s="118" cm="1">
        <f t="array" ref="C61">(VLOOKUP($B61,$E$8:$G$32,3,0)*(-(VLOOKUP(C$50,$E$8:$G$32,3,0))))/SUMPRODUCT(($G$8:$G$32&gt;0)*($G$8:$G$32))</f>
        <v>1453.0887530051587</v>
      </c>
      <c r="D61" s="118" cm="1">
        <f t="array" ref="D61">(VLOOKUP($B61,$E$8:$G$32,3,0)*(-(VLOOKUP(D$50,$E$8:$G$32,3,0))))/SUMPRODUCT(($G$8:$G$32&gt;0)*($G$8:$G$32))</f>
        <v>13445.71684410468</v>
      </c>
      <c r="E61" s="118" cm="1">
        <f t="array" ref="E61">(VLOOKUP($B61,$E$8:$G$32,3,0)*(-(VLOOKUP(E$50,$E$8:$G$32,3,0))))/SUMPRODUCT(($G$8:$G$32&gt;0)*($G$8:$G$32))</f>
        <v>196791.4831987526</v>
      </c>
      <c r="F61" s="118" cm="1">
        <f t="array" ref="F61">(VLOOKUP($B61,$E$8:$G$32,3,0)*(-(VLOOKUP(F$50,$E$8:$G$32,3,0))))/SUMPRODUCT(($G$8:$G$32&gt;0)*($G$8:$G$32))</f>
        <v>1207.2514039976525</v>
      </c>
      <c r="G61" s="118" cm="1">
        <f t="array" ref="G61">(VLOOKUP($B61,$E$8:$G$32,3,0)*(-(VLOOKUP(G$50,$E$8:$G$32,3,0))))/SUMPRODUCT(($G$8:$G$32&gt;0)*($G$8:$G$32))</f>
        <v>3183.7775279136154</v>
      </c>
      <c r="H61" s="118" cm="1">
        <f t="array" ref="H61">(VLOOKUP($B61,$E$8:$G$32,3,0)*(-(VLOOKUP(H$50,$E$8:$G$32,3,0))))/SUMPRODUCT(($G$8:$G$32&gt;0)*($G$8:$G$32))</f>
        <v>1874.9047836798832</v>
      </c>
      <c r="I61" s="118" cm="1">
        <f t="array" ref="I61">(VLOOKUP($B61,$E$8:$G$32,3,0)*(-(VLOOKUP(I$50,$E$8:$G$32,3,0))))/SUMPRODUCT(($G$8:$G$32&gt;0)*($G$8:$G$32))</f>
        <v>61738.537085294767</v>
      </c>
      <c r="J61" s="118" cm="1">
        <f t="array" ref="J61">(VLOOKUP($B61,$E$8:$G$32,3,0)*(-(VLOOKUP(J$50,$E$8:$G$32,3,0))))/SUMPRODUCT(($G$8:$G$32&gt;0)*($G$8:$G$32))</f>
        <v>81828.438376556092</v>
      </c>
      <c r="K61" s="118" cm="1">
        <f t="array" ref="K61">(VLOOKUP($B61,$E$8:$G$32,3,0)*(-(VLOOKUP(K$50,$E$8:$G$32,3,0))))/SUMPRODUCT(($G$8:$G$32&gt;0)*($G$8:$G$32))</f>
        <v>139963.37481661476</v>
      </c>
      <c r="L61" s="118" cm="1">
        <f t="array" ref="L61">(VLOOKUP($B61,$E$8:$G$32,3,0)*(-(VLOOKUP(L$50,$E$8:$G$32,3,0))))/SUMPRODUCT(($G$8:$G$32&gt;0)*($G$8:$G$32))</f>
        <v>29637.500329582803</v>
      </c>
      <c r="M61" s="118" cm="1">
        <f t="array" ref="M61">(VLOOKUP($B61,$E$8:$G$32,3,0)*(-(VLOOKUP(M$50,$E$8:$G$32,3,0))))/SUMPRODUCT(($G$8:$G$32&gt;0)*($G$8:$G$32))</f>
        <v>6809.683997006885</v>
      </c>
      <c r="N61" s="118" cm="1">
        <f t="array" ref="N61">(VLOOKUP($B61,$E$8:$G$32,3,0)*(-(VLOOKUP(N$50,$E$8:$G$32,3,0))))/SUMPRODUCT(($G$8:$G$32&gt;0)*($G$8:$G$32))</f>
        <v>1334.7405204772142</v>
      </c>
      <c r="O61" s="119">
        <f t="shared" si="1"/>
        <v>539268.49763698608</v>
      </c>
    </row>
    <row r="62" spans="2:15" x14ac:dyDescent="0.2">
      <c r="B62" s="81" t="s">
        <v>49</v>
      </c>
      <c r="C62" s="118" cm="1">
        <f t="array" ref="C62">(VLOOKUP($B62,$E$8:$G$32,3,0)*(-(VLOOKUP(C$50,$E$8:$G$32,3,0))))/SUMPRODUCT(($G$8:$G$32&gt;0)*($G$8:$G$32))</f>
        <v>0</v>
      </c>
      <c r="D62" s="118" cm="1">
        <f t="array" ref="D62">(VLOOKUP($B62,$E$8:$G$32,3,0)*(-(VLOOKUP(D$50,$E$8:$G$32,3,0))))/SUMPRODUCT(($G$8:$G$32&gt;0)*($G$8:$G$32))</f>
        <v>0</v>
      </c>
      <c r="E62" s="118" cm="1">
        <f t="array" ref="E62">(VLOOKUP($B62,$E$8:$G$32,3,0)*(-(VLOOKUP(E$50,$E$8:$G$32,3,0))))/SUMPRODUCT(($G$8:$G$32&gt;0)*($G$8:$G$32))</f>
        <v>0</v>
      </c>
      <c r="F62" s="118" cm="1">
        <f t="array" ref="F62">(VLOOKUP($B62,$E$8:$G$32,3,0)*(-(VLOOKUP(F$50,$E$8:$G$32,3,0))))/SUMPRODUCT(($G$8:$G$32&gt;0)*($G$8:$G$32))</f>
        <v>0</v>
      </c>
      <c r="G62" s="118" cm="1">
        <f t="array" ref="G62">(VLOOKUP($B62,$E$8:$G$32,3,0)*(-(VLOOKUP(G$50,$E$8:$G$32,3,0))))/SUMPRODUCT(($G$8:$G$32&gt;0)*($G$8:$G$32))</f>
        <v>0</v>
      </c>
      <c r="H62" s="118" cm="1">
        <f t="array" ref="H62">(VLOOKUP($B62,$E$8:$G$32,3,0)*(-(VLOOKUP(H$50,$E$8:$G$32,3,0))))/SUMPRODUCT(($G$8:$G$32&gt;0)*($G$8:$G$32))</f>
        <v>0</v>
      </c>
      <c r="I62" s="118" cm="1">
        <f t="array" ref="I62">(VLOOKUP($B62,$E$8:$G$32,3,0)*(-(VLOOKUP(I$50,$E$8:$G$32,3,0))))/SUMPRODUCT(($G$8:$G$32&gt;0)*($G$8:$G$32))</f>
        <v>0</v>
      </c>
      <c r="J62" s="118" cm="1">
        <f t="array" ref="J62">(VLOOKUP($B62,$E$8:$G$32,3,0)*(-(VLOOKUP(J$50,$E$8:$G$32,3,0))))/SUMPRODUCT(($G$8:$G$32&gt;0)*($G$8:$G$32))</f>
        <v>0</v>
      </c>
      <c r="K62" s="118" cm="1">
        <f t="array" ref="K62">(VLOOKUP($B62,$E$8:$G$32,3,0)*(-(VLOOKUP(K$50,$E$8:$G$32,3,0))))/SUMPRODUCT(($G$8:$G$32&gt;0)*($G$8:$G$32))</f>
        <v>0</v>
      </c>
      <c r="L62" s="118" cm="1">
        <f t="array" ref="L62">(VLOOKUP($B62,$E$8:$G$32,3,0)*(-(VLOOKUP(L$50,$E$8:$G$32,3,0))))/SUMPRODUCT(($G$8:$G$32&gt;0)*($G$8:$G$32))</f>
        <v>0</v>
      </c>
      <c r="M62" s="118" cm="1">
        <f t="array" ref="M62">(VLOOKUP($B62,$E$8:$G$32,3,0)*(-(VLOOKUP(M$50,$E$8:$G$32,3,0))))/SUMPRODUCT(($G$8:$G$32&gt;0)*($G$8:$G$32))</f>
        <v>0</v>
      </c>
      <c r="N62" s="118" cm="1">
        <f t="array" ref="N62">(VLOOKUP($B62,$E$8:$G$32,3,0)*(-(VLOOKUP(N$50,$E$8:$G$32,3,0))))/SUMPRODUCT(($G$8:$G$32&gt;0)*($G$8:$G$32))</f>
        <v>0</v>
      </c>
      <c r="O62" s="119">
        <f t="shared" si="1"/>
        <v>0</v>
      </c>
    </row>
    <row r="63" spans="2:15" x14ac:dyDescent="0.2">
      <c r="B63" s="81" t="s">
        <v>50</v>
      </c>
      <c r="C63" s="118" cm="1">
        <f t="array" ref="C63">(VLOOKUP($B63,$E$8:$G$32,3,0)*(-(VLOOKUP(C$50,$E$8:$G$32,3,0))))/SUMPRODUCT(($G$8:$G$32&gt;0)*($G$8:$G$32))</f>
        <v>0</v>
      </c>
      <c r="D63" s="118" cm="1">
        <f t="array" ref="D63">(VLOOKUP($B63,$E$8:$G$32,3,0)*(-(VLOOKUP(D$50,$E$8:$G$32,3,0))))/SUMPRODUCT(($G$8:$G$32&gt;0)*($G$8:$G$32))</f>
        <v>0</v>
      </c>
      <c r="E63" s="118" cm="1">
        <f t="array" ref="E63">(VLOOKUP($B63,$E$8:$G$32,3,0)*(-(VLOOKUP(E$50,$E$8:$G$32,3,0))))/SUMPRODUCT(($G$8:$G$32&gt;0)*($G$8:$G$32))</f>
        <v>0</v>
      </c>
      <c r="F63" s="118" cm="1">
        <f t="array" ref="F63">(VLOOKUP($B63,$E$8:$G$32,3,0)*(-(VLOOKUP(F$50,$E$8:$G$32,3,0))))/SUMPRODUCT(($G$8:$G$32&gt;0)*($G$8:$G$32))</f>
        <v>0</v>
      </c>
      <c r="G63" s="118" cm="1">
        <f t="array" ref="G63">(VLOOKUP($B63,$E$8:$G$32,3,0)*(-(VLOOKUP(G$50,$E$8:$G$32,3,0))))/SUMPRODUCT(($G$8:$G$32&gt;0)*($G$8:$G$32))</f>
        <v>0</v>
      </c>
      <c r="H63" s="118" cm="1">
        <f t="array" ref="H63">(VLOOKUP($B63,$E$8:$G$32,3,0)*(-(VLOOKUP(H$50,$E$8:$G$32,3,0))))/SUMPRODUCT(($G$8:$G$32&gt;0)*($G$8:$G$32))</f>
        <v>0</v>
      </c>
      <c r="I63" s="118" cm="1">
        <f t="array" ref="I63">(VLOOKUP($B63,$E$8:$G$32,3,0)*(-(VLOOKUP(I$50,$E$8:$G$32,3,0))))/SUMPRODUCT(($G$8:$G$32&gt;0)*($G$8:$G$32))</f>
        <v>0</v>
      </c>
      <c r="J63" s="118" cm="1">
        <f t="array" ref="J63">(VLOOKUP($B63,$E$8:$G$32,3,0)*(-(VLOOKUP(J$50,$E$8:$G$32,3,0))))/SUMPRODUCT(($G$8:$G$32&gt;0)*($G$8:$G$32))</f>
        <v>0</v>
      </c>
      <c r="K63" s="118" cm="1">
        <f t="array" ref="K63">(VLOOKUP($B63,$E$8:$G$32,3,0)*(-(VLOOKUP(K$50,$E$8:$G$32,3,0))))/SUMPRODUCT(($G$8:$G$32&gt;0)*($G$8:$G$32))</f>
        <v>0</v>
      </c>
      <c r="L63" s="118" cm="1">
        <f t="array" ref="L63">(VLOOKUP($B63,$E$8:$G$32,3,0)*(-(VLOOKUP(L$50,$E$8:$G$32,3,0))))/SUMPRODUCT(($G$8:$G$32&gt;0)*($G$8:$G$32))</f>
        <v>0</v>
      </c>
      <c r="M63" s="118" cm="1">
        <f t="array" ref="M63">(VLOOKUP($B63,$E$8:$G$32,3,0)*(-(VLOOKUP(M$50,$E$8:$G$32,3,0))))/SUMPRODUCT(($G$8:$G$32&gt;0)*($G$8:$G$32))</f>
        <v>0</v>
      </c>
      <c r="N63" s="118" cm="1">
        <f t="array" ref="N63">(VLOOKUP($B63,$E$8:$G$32,3,0)*(-(VLOOKUP(N$50,$E$8:$G$32,3,0))))/SUMPRODUCT(($G$8:$G$32&gt;0)*($G$8:$G$32))</f>
        <v>0</v>
      </c>
      <c r="O63" s="119">
        <f>SUM(C63:N63)</f>
        <v>0</v>
      </c>
    </row>
    <row r="64" spans="2:15" x14ac:dyDescent="0.2">
      <c r="B64" s="120" t="s">
        <v>52</v>
      </c>
      <c r="C64" s="121">
        <f t="shared" ref="C64:N64" si="2">SUM(C51:C63)</f>
        <v>2489089.5877014664</v>
      </c>
      <c r="D64" s="121">
        <f t="shared" si="2"/>
        <v>23032036.912148871</v>
      </c>
      <c r="E64" s="121">
        <f t="shared" si="2"/>
        <v>337096843.37265283</v>
      </c>
      <c r="F64" s="121">
        <f t="shared" si="2"/>
        <v>2067978.9126534283</v>
      </c>
      <c r="G64" s="121">
        <f t="shared" si="2"/>
        <v>5453698.1845730124</v>
      </c>
      <c r="H64" s="121">
        <f t="shared" si="2"/>
        <v>3211645.5139699937</v>
      </c>
      <c r="I64" s="121">
        <f t="shared" si="2"/>
        <v>105755928.19166397</v>
      </c>
      <c r="J64" s="121">
        <f t="shared" si="2"/>
        <v>140169217.82632077</v>
      </c>
      <c r="K64" s="121">
        <f t="shared" si="2"/>
        <v>239752305.69715703</v>
      </c>
      <c r="L64" s="121">
        <f t="shared" si="2"/>
        <v>50767988.757257588</v>
      </c>
      <c r="M64" s="121">
        <f t="shared" si="2"/>
        <v>11664747.591936644</v>
      </c>
      <c r="N64" s="121">
        <f t="shared" si="2"/>
        <v>2286363.255466802</v>
      </c>
      <c r="O64" s="82">
        <f>SUM(O51:O63)</f>
        <v>923747843.80350232</v>
      </c>
    </row>
    <row r="65" spans="2:16" x14ac:dyDescent="0.2">
      <c r="B65" s="50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P65" s="17"/>
    </row>
    <row r="66" spans="2:16" x14ac:dyDescent="0.2">
      <c r="B66" s="111"/>
      <c r="C66" s="122"/>
      <c r="D66" s="122"/>
      <c r="E66" s="122"/>
      <c r="F66" s="122"/>
      <c r="G66" s="122"/>
      <c r="H66" s="50"/>
      <c r="I66" s="50"/>
      <c r="J66" s="50"/>
      <c r="K66" s="50"/>
      <c r="L66" s="50"/>
      <c r="M66" s="50"/>
      <c r="N66" s="50"/>
      <c r="O66" s="84">
        <f>-SUMPRODUCT(($G$8:$G$32&lt;0)*($G$8:$G$32))</f>
        <v>923747843.80350244</v>
      </c>
    </row>
    <row r="67" spans="2:16" x14ac:dyDescent="0.2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85">
        <f>O64-O66</f>
        <v>0</v>
      </c>
    </row>
    <row r="68" spans="2:16" x14ac:dyDescent="0.2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85">
        <f>O64-J6</f>
        <v>0</v>
      </c>
    </row>
    <row r="82" spans="4:7" x14ac:dyDescent="0.2">
      <c r="D82" s="50"/>
      <c r="E82" s="50"/>
      <c r="F82" s="50"/>
      <c r="G82" s="50"/>
    </row>
  </sheetData>
  <mergeCells count="10">
    <mergeCell ref="J6:J7"/>
    <mergeCell ref="B49:B50"/>
    <mergeCell ref="C49:N49"/>
    <mergeCell ref="O49:O50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AB59-9CB9-47A0-880B-FC0C4BB1DB5A}">
  <sheetPr codeName="Hoja12">
    <tabColor theme="7" tint="0.79998168889431442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20" customWidth="1"/>
    <col min="2" max="2" width="24.85546875" style="20" customWidth="1"/>
    <col min="3" max="3" width="11.5703125" style="20" bestFit="1" customWidth="1"/>
    <col min="4" max="4" width="13.140625" style="20" bestFit="1" customWidth="1"/>
    <col min="5" max="5" width="12.5703125" style="20" customWidth="1"/>
    <col min="6" max="6" width="11.28515625" style="20" customWidth="1"/>
    <col min="7" max="7" width="12.140625" style="20" bestFit="1" customWidth="1"/>
    <col min="8" max="8" width="12.5703125" style="20" customWidth="1"/>
    <col min="9" max="9" width="13.85546875" style="20" customWidth="1"/>
    <col min="10" max="10" width="12.85546875" style="20" customWidth="1"/>
    <col min="11" max="11" width="13.85546875" style="20" customWidth="1"/>
    <col min="12" max="12" width="12.140625" style="20" bestFit="1" customWidth="1"/>
    <col min="13" max="13" width="11.5703125" style="20" bestFit="1" customWidth="1"/>
    <col min="14" max="14" width="14.42578125" style="20" customWidth="1"/>
    <col min="15" max="15" width="15.42578125" style="20" customWidth="1"/>
    <col min="16" max="16" width="11.7109375" style="20" customWidth="1"/>
    <col min="17" max="17" width="12.42578125" style="20" bestFit="1" customWidth="1"/>
    <col min="18" max="18" width="23.85546875" style="20" customWidth="1"/>
    <col min="19" max="16384" width="11.42578125" style="20"/>
  </cols>
  <sheetData>
    <row r="2" spans="2:17" x14ac:dyDescent="0.2">
      <c r="B2" s="19" t="s">
        <v>95</v>
      </c>
      <c r="C2" s="19"/>
      <c r="D2" s="19"/>
    </row>
    <row r="3" spans="2:17" x14ac:dyDescent="0.2">
      <c r="B3" s="21">
        <f>FechaFacturacion</f>
        <v>45717</v>
      </c>
      <c r="C3" s="22"/>
      <c r="D3" s="22"/>
      <c r="I3" s="23" t="s">
        <v>57</v>
      </c>
      <c r="J3" s="24"/>
      <c r="K3" s="24"/>
    </row>
    <row r="4" spans="2:17" x14ac:dyDescent="0.2">
      <c r="B4" s="25"/>
      <c r="D4" s="22"/>
      <c r="I4" s="26">
        <f>'Reliquidación TD'!$I$4</f>
        <v>5.0391937290035216E-3</v>
      </c>
      <c r="J4" s="27"/>
      <c r="K4" s="27"/>
    </row>
    <row r="6" spans="2:17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55</v>
      </c>
      <c r="H6" s="29" t="str">
        <f>"Saldo "&amp;TEXT(B3-1,"mmmmmmmmmm")</f>
        <v>Saldo febrero</v>
      </c>
      <c r="I6" s="29" t="s">
        <v>58</v>
      </c>
      <c r="J6" s="29" t="s">
        <v>59</v>
      </c>
      <c r="K6" s="29" t="s">
        <v>60</v>
      </c>
      <c r="L6" s="30" t="s">
        <v>55</v>
      </c>
      <c r="M6" s="29" t="s">
        <v>89</v>
      </c>
      <c r="N6" s="31" t="s">
        <v>90</v>
      </c>
      <c r="O6" s="29" t="s">
        <v>64</v>
      </c>
      <c r="P6" s="29" t="s">
        <v>65</v>
      </c>
    </row>
    <row r="7" spans="2:17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7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7" x14ac:dyDescent="0.2">
      <c r="B9" s="40" t="s">
        <v>14</v>
      </c>
      <c r="C9" s="41">
        <f>SUMIF('Entrada 7TRAN'!$E$8:$E$43,'Reliquidación 7TRAN'!$B9,'Entrada 7TRAN'!F$8:F$43)</f>
        <v>5156215</v>
      </c>
      <c r="D9" s="41">
        <f>SUMIF('Entrada 7TRAN'!$E$8:$E$43,'Reliquidación 7TRAN'!$B9,'Entrada 7TRAN'!G$8:G$43)</f>
        <v>3378140</v>
      </c>
      <c r="E9" s="41">
        <f>SUMIF('Entrada 7TRAN'!$E$8:$E$43,'Reliquidación 7TRAN'!$B9,'Entrada 7TRAN'!H$8:H$43)</f>
        <v>178359</v>
      </c>
      <c r="F9" s="41">
        <f>SUMIF('Entrada 7TRAN'!$E$8:$E$43,'Reliquidación 7TRAN'!$B9,'Entrada 7TRAN'!I$8:I$43)</f>
        <v>51193</v>
      </c>
      <c r="G9" s="41">
        <f>SUMIF('Entrada 7TRAN'!$E$8:$E$43,'Reliquidación 7TRAN'!$B9,'Entrada 7TRAN'!J$8:J$43)</f>
        <v>6048384.3289785972</v>
      </c>
      <c r="H9" s="41">
        <v>4379469.5690292334</v>
      </c>
      <c r="I9" s="41">
        <f t="shared" ref="I9:I43" si="0">H9*($I$4+1)</f>
        <v>4401538.5646178471</v>
      </c>
      <c r="J9" s="41">
        <v>0</v>
      </c>
      <c r="K9" s="41">
        <f>+J9*($I$4+1)</f>
        <v>0</v>
      </c>
      <c r="L9" s="41">
        <f>G9+I9+K9</f>
        <v>10449922.893596444</v>
      </c>
      <c r="M9" s="41">
        <f>IF(L9&lt;0,-L9,0)</f>
        <v>0</v>
      </c>
      <c r="N9" s="41">
        <f>IF(L9&gt;0,L9,0)</f>
        <v>10449922.893596444</v>
      </c>
      <c r="O9" s="41">
        <f t="shared" ref="O9:O42" si="1">IF(OR($M$44=0,$N$44=0),0,((M9/$M$44-N9/$N$44)*$N$49))</f>
        <v>-5546600.6064427448</v>
      </c>
      <c r="P9" s="41">
        <f>L9+O9</f>
        <v>4903322.2871536994</v>
      </c>
      <c r="Q9" s="86"/>
    </row>
    <row r="10" spans="2:17" x14ac:dyDescent="0.2">
      <c r="B10" s="42" t="s">
        <v>15</v>
      </c>
      <c r="C10" s="43">
        <f>SUMIF('Entrada 7TRAN'!$E$8:$E$43,'Reliquidación 7TRAN'!$B10,'Entrada 7TRAN'!F$8:F$43)</f>
        <v>1096154</v>
      </c>
      <c r="D10" s="43">
        <f>SUMIF('Entrada 7TRAN'!$E$8:$E$43,'Reliquidación 7TRAN'!$B10,'Entrada 7TRAN'!G$8:G$43)</f>
        <v>4377593</v>
      </c>
      <c r="E10" s="43">
        <f>SUMIF('Entrada 7TRAN'!$E$8:$E$43,'Reliquidación 7TRAN'!$B10,'Entrada 7TRAN'!H$8:H$43)</f>
        <v>1652</v>
      </c>
      <c r="F10" s="43">
        <f>SUMIF('Entrada 7TRAN'!$E$8:$E$43,'Reliquidación 7TRAN'!$B10,'Entrada 7TRAN'!I$8:I$43)</f>
        <v>29639</v>
      </c>
      <c r="G10" s="43">
        <f>SUMIF('Entrada 7TRAN'!$E$8:$E$43,'Reliquidación 7TRAN'!$B10,'Entrada 7TRAN'!J$8:J$43)</f>
        <v>3693841.0707967998</v>
      </c>
      <c r="H10" s="43">
        <v>2478204.5558205559</v>
      </c>
      <c r="I10" s="43">
        <f t="shared" si="0"/>
        <v>2490692.7086774348</v>
      </c>
      <c r="J10" s="43">
        <v>0</v>
      </c>
      <c r="K10" s="43">
        <f t="shared" ref="K10:K43" si="2">+J10*($I$4+1)</f>
        <v>0</v>
      </c>
      <c r="L10" s="43">
        <f t="shared" ref="L10:L43" si="3">G10+I10+K10</f>
        <v>6184533.7794742342</v>
      </c>
      <c r="M10" s="43">
        <f t="shared" ref="M10:M43" si="4">IF(L10&lt;0,-L10,0)</f>
        <v>0</v>
      </c>
      <c r="N10" s="43">
        <f>IF(L10&gt;0,L10,0)</f>
        <v>6184533.7794742342</v>
      </c>
      <c r="O10" s="43">
        <f t="shared" si="1"/>
        <v>-3282621.2366426052</v>
      </c>
      <c r="P10" s="43">
        <f t="shared" ref="P10:P43" si="5">L10+O10</f>
        <v>2901912.542831629</v>
      </c>
      <c r="Q10" s="86"/>
    </row>
    <row r="11" spans="2:17" x14ac:dyDescent="0.2">
      <c r="B11" s="42" t="s">
        <v>16</v>
      </c>
      <c r="C11" s="43">
        <f>SUMIF('Entrada 7TRAN'!$E$8:$E$43,'Reliquidación 7TRAN'!$B11,'Entrada 7TRAN'!F$8:F$43)</f>
        <v>1794659.36</v>
      </c>
      <c r="D11" s="43">
        <f>SUMIF('Entrada 7TRAN'!$E$8:$E$43,'Reliquidación 7TRAN'!$B11,'Entrada 7TRAN'!G$8:G$43)</f>
        <v>5969691.0329999998</v>
      </c>
      <c r="E11" s="43">
        <f>SUMIF('Entrada 7TRAN'!$E$8:$E$43,'Reliquidación 7TRAN'!$B11,'Entrada 7TRAN'!H$8:H$43)</f>
        <v>0</v>
      </c>
      <c r="F11" s="43">
        <f>SUMIF('Entrada 7TRAN'!$E$8:$E$43,'Reliquidación 7TRAN'!$B11,'Entrada 7TRAN'!I$8:I$43)</f>
        <v>24727</v>
      </c>
      <c r="G11" s="43">
        <f>SUMIF('Entrada 7TRAN'!$E$8:$E$43,'Reliquidación 7TRAN'!$B11,'Entrada 7TRAN'!J$8:J$43)</f>
        <v>5845309.2317236373</v>
      </c>
      <c r="H11" s="43">
        <v>5368297.0096608661</v>
      </c>
      <c r="I11" s="43">
        <f t="shared" si="0"/>
        <v>5395348.8982873773</v>
      </c>
      <c r="J11" s="43">
        <v>0</v>
      </c>
      <c r="K11" s="43">
        <f t="shared" si="2"/>
        <v>0</v>
      </c>
      <c r="L11" s="43">
        <f t="shared" si="3"/>
        <v>11240658.130011015</v>
      </c>
      <c r="M11" s="43">
        <f t="shared" si="4"/>
        <v>0</v>
      </c>
      <c r="N11" s="43">
        <f t="shared" ref="N11:N43" si="6">IF(L11&gt;0,L11,0)</f>
        <v>11240658.130011015</v>
      </c>
      <c r="O11" s="43">
        <f t="shared" si="1"/>
        <v>-5966306.3388668867</v>
      </c>
      <c r="P11" s="43">
        <f t="shared" si="5"/>
        <v>5274351.791144128</v>
      </c>
      <c r="Q11" s="86"/>
    </row>
    <row r="12" spans="2:17" x14ac:dyDescent="0.2">
      <c r="B12" s="42" t="s">
        <v>17</v>
      </c>
      <c r="C12" s="43">
        <f>SUMIF('Entrada 7TRAN'!$E$8:$E$43,'Reliquidación 7TRAN'!$B12,'Entrada 7TRAN'!F$8:F$43)</f>
        <v>484040</v>
      </c>
      <c r="D12" s="43">
        <f>SUMIF('Entrada 7TRAN'!$E$8:$E$43,'Reliquidación 7TRAN'!$B12,'Entrada 7TRAN'!G$8:G$43)</f>
        <v>1275896</v>
      </c>
      <c r="E12" s="43">
        <f>SUMIF('Entrada 7TRAN'!$E$8:$E$43,'Reliquidación 7TRAN'!$B12,'Entrada 7TRAN'!H$8:H$43)</f>
        <v>0</v>
      </c>
      <c r="F12" s="43">
        <f>SUMIF('Entrada 7TRAN'!$E$8:$E$43,'Reliquidación 7TRAN'!$B12,'Entrada 7TRAN'!I$8:I$43)</f>
        <v>0</v>
      </c>
      <c r="G12" s="43">
        <f>SUMIF('Entrada 7TRAN'!$E$8:$E$43,'Reliquidación 7TRAN'!$B12,'Entrada 7TRAN'!J$8:J$43)</f>
        <v>1479074.106917724</v>
      </c>
      <c r="H12" s="43">
        <v>1063529.8542423404</v>
      </c>
      <c r="I12" s="43">
        <f t="shared" si="0"/>
        <v>1068889.1872144465</v>
      </c>
      <c r="J12" s="43">
        <v>0</v>
      </c>
      <c r="K12" s="43">
        <f t="shared" si="2"/>
        <v>0</v>
      </c>
      <c r="L12" s="43">
        <f t="shared" si="3"/>
        <v>2547963.2941321703</v>
      </c>
      <c r="M12" s="43">
        <f t="shared" si="4"/>
        <v>0</v>
      </c>
      <c r="N12" s="43">
        <f t="shared" si="6"/>
        <v>2547963.2941321703</v>
      </c>
      <c r="O12" s="43">
        <f t="shared" si="1"/>
        <v>-1352405.6489534054</v>
      </c>
      <c r="P12" s="43">
        <f t="shared" si="5"/>
        <v>1195557.6451787648</v>
      </c>
      <c r="Q12" s="86"/>
    </row>
    <row r="13" spans="2:17" x14ac:dyDescent="0.2">
      <c r="B13" s="42" t="s">
        <v>18</v>
      </c>
      <c r="C13" s="43">
        <f>SUMIF('Entrada 7TRAN'!$E$8:$E$43,'Reliquidación 7TRAN'!$B13,'Entrada 7TRAN'!F$8:F$43)</f>
        <v>205758641.80500001</v>
      </c>
      <c r="D13" s="43">
        <f>SUMIF('Entrada 7TRAN'!$E$8:$E$43,'Reliquidación 7TRAN'!$B13,'Entrada 7TRAN'!G$8:G$43)</f>
        <v>428742887.85100001</v>
      </c>
      <c r="E13" s="43">
        <f>SUMIF('Entrada 7TRAN'!$E$8:$E$43,'Reliquidación 7TRAN'!$B13,'Entrada 7TRAN'!H$8:H$43)</f>
        <v>4367319.7060000002</v>
      </c>
      <c r="F13" s="43">
        <f>SUMIF('Entrada 7TRAN'!$E$8:$E$43,'Reliquidación 7TRAN'!$B13,'Entrada 7TRAN'!I$8:I$43)</f>
        <v>1666562.73</v>
      </c>
      <c r="G13" s="43">
        <f>SUMIF('Entrada 7TRAN'!$E$8:$E$43,'Reliquidación 7TRAN'!$B13,'Entrada 7TRAN'!J$8:J$43)</f>
        <v>-353384893.40095443</v>
      </c>
      <c r="H13" s="43">
        <v>0</v>
      </c>
      <c r="I13" s="43">
        <f t="shared" si="0"/>
        <v>0</v>
      </c>
      <c r="J13" s="43">
        <v>0</v>
      </c>
      <c r="K13" s="43">
        <f t="shared" si="2"/>
        <v>0</v>
      </c>
      <c r="L13" s="43">
        <f t="shared" si="3"/>
        <v>-353384893.40095443</v>
      </c>
      <c r="M13" s="43">
        <f t="shared" si="4"/>
        <v>353384893.40095443</v>
      </c>
      <c r="N13" s="43">
        <f t="shared" si="6"/>
        <v>0</v>
      </c>
      <c r="O13" s="43">
        <f t="shared" si="1"/>
        <v>353384893.40095443</v>
      </c>
      <c r="P13" s="43">
        <f t="shared" si="5"/>
        <v>0</v>
      </c>
      <c r="Q13" s="86"/>
    </row>
    <row r="14" spans="2:17" x14ac:dyDescent="0.2">
      <c r="B14" s="42" t="s">
        <v>20</v>
      </c>
      <c r="C14" s="43">
        <f>SUMIF('Entrada 7TRAN'!$E$8:$E$43,'Reliquidación 7TRAN'!$B14,'Entrada 7TRAN'!F$8:F$43)</f>
        <v>259592.5</v>
      </c>
      <c r="D14" s="43">
        <f>SUMIF('Entrada 7TRAN'!$E$8:$E$43,'Reliquidación 7TRAN'!$B14,'Entrada 7TRAN'!G$8:G$43)</f>
        <v>880990.46799999999</v>
      </c>
      <c r="E14" s="43">
        <f>SUMIF('Entrada 7TRAN'!$E$8:$E$43,'Reliquidación 7TRAN'!$B14,'Entrada 7TRAN'!H$8:H$43)</f>
        <v>0</v>
      </c>
      <c r="F14" s="43">
        <f>SUMIF('Entrada 7TRAN'!$E$8:$E$43,'Reliquidación 7TRAN'!$B14,'Entrada 7TRAN'!I$8:I$43)</f>
        <v>0</v>
      </c>
      <c r="G14" s="43">
        <f>SUMIF('Entrada 7TRAN'!$E$8:$E$43,'Reliquidación 7TRAN'!$B14,'Entrada 7TRAN'!J$8:J$43)</f>
        <v>623134.70836811722</v>
      </c>
      <c r="H14" s="43">
        <v>386206.31632824498</v>
      </c>
      <c r="I14" s="43">
        <f t="shared" si="0"/>
        <v>388152.4847755878</v>
      </c>
      <c r="J14" s="43">
        <v>0</v>
      </c>
      <c r="K14" s="43">
        <f t="shared" si="2"/>
        <v>0</v>
      </c>
      <c r="L14" s="43">
        <f t="shared" si="3"/>
        <v>1011287.193143705</v>
      </c>
      <c r="M14" s="43">
        <f t="shared" si="4"/>
        <v>0</v>
      </c>
      <c r="N14" s="43">
        <f t="shared" si="6"/>
        <v>1011287.193143705</v>
      </c>
      <c r="O14" s="43">
        <f t="shared" si="1"/>
        <v>-536770.10020962858</v>
      </c>
      <c r="P14" s="43">
        <f t="shared" si="5"/>
        <v>474517.09293407644</v>
      </c>
      <c r="Q14" s="86"/>
    </row>
    <row r="15" spans="2:17" x14ac:dyDescent="0.2">
      <c r="B15" s="42" t="s">
        <v>21</v>
      </c>
      <c r="C15" s="43">
        <f>SUMIF('Entrada 7TRAN'!$E$8:$E$43,'Reliquidación 7TRAN'!$B15,'Entrada 7TRAN'!F$8:F$43)</f>
        <v>12632883.048</v>
      </c>
      <c r="D15" s="43">
        <f>SUMIF('Entrada 7TRAN'!$E$8:$E$43,'Reliquidación 7TRAN'!$B15,'Entrada 7TRAN'!G$8:G$43)</f>
        <v>18870597.596999999</v>
      </c>
      <c r="E15" s="43">
        <f>SUMIF('Entrada 7TRAN'!$E$8:$E$43,'Reliquidación 7TRAN'!$B15,'Entrada 7TRAN'!H$8:H$43)</f>
        <v>307080.18300000002</v>
      </c>
      <c r="F15" s="43">
        <f>SUMIF('Entrada 7TRAN'!$E$8:$E$43,'Reliquidación 7TRAN'!$B15,'Entrada 7TRAN'!I$8:I$43)</f>
        <v>51796.796000000002</v>
      </c>
      <c r="G15" s="43">
        <f>SUMIF('Entrada 7TRAN'!$E$8:$E$43,'Reliquidación 7TRAN'!$B15,'Entrada 7TRAN'!J$8:J$43)</f>
        <v>-14598162.03863425</v>
      </c>
      <c r="H15" s="43">
        <v>0</v>
      </c>
      <c r="I15" s="43">
        <f t="shared" si="0"/>
        <v>0</v>
      </c>
      <c r="J15" s="43">
        <v>0</v>
      </c>
      <c r="K15" s="43">
        <f t="shared" si="2"/>
        <v>0</v>
      </c>
      <c r="L15" s="43">
        <f t="shared" si="3"/>
        <v>-14598162.03863425</v>
      </c>
      <c r="M15" s="43">
        <f t="shared" si="4"/>
        <v>14598162.03863425</v>
      </c>
      <c r="N15" s="43">
        <f t="shared" si="6"/>
        <v>0</v>
      </c>
      <c r="O15" s="43">
        <f t="shared" si="1"/>
        <v>14598162.03863425</v>
      </c>
      <c r="P15" s="43">
        <f t="shared" si="5"/>
        <v>0</v>
      </c>
      <c r="Q15" s="86"/>
    </row>
    <row r="16" spans="2:17" x14ac:dyDescent="0.2">
      <c r="B16" s="42" t="s">
        <v>22</v>
      </c>
      <c r="C16" s="43">
        <f>SUMIF('Entrada 7TRAN'!$E$8:$E$43,'Reliquidación 7TRAN'!$B16,'Entrada 7TRAN'!F$8:F$43)</f>
        <v>0</v>
      </c>
      <c r="D16" s="43">
        <f>SUMIF('Entrada 7TRAN'!$E$8:$E$43,'Reliquidación 7TRAN'!$B16,'Entrada 7TRAN'!G$8:G$43)</f>
        <v>0</v>
      </c>
      <c r="E16" s="43">
        <f>SUMIF('Entrada 7TRAN'!$E$8:$E$43,'Reliquidación 7TRAN'!$B16,'Entrada 7TRAN'!H$8:H$43)</f>
        <v>0</v>
      </c>
      <c r="F16" s="43">
        <f>SUMIF('Entrada 7TRAN'!$E$8:$E$43,'Reliquidación 7TRAN'!$B16,'Entrada 7TRAN'!I$8:I$43)</f>
        <v>0</v>
      </c>
      <c r="G16" s="43">
        <f>SUMIF('Entrada 7TRAN'!$E$8:$E$43,'Reliquidación 7TRAN'!$B16,'Entrada 7TRAN'!J$8:J$43)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2"/>
        <v>0</v>
      </c>
      <c r="L16" s="43">
        <f t="shared" si="3"/>
        <v>0</v>
      </c>
      <c r="M16" s="43">
        <f t="shared" si="4"/>
        <v>0</v>
      </c>
      <c r="N16" s="43">
        <f t="shared" si="6"/>
        <v>0</v>
      </c>
      <c r="O16" s="43">
        <f t="shared" si="1"/>
        <v>0</v>
      </c>
      <c r="P16" s="43">
        <f t="shared" si="5"/>
        <v>0</v>
      </c>
      <c r="Q16" s="86"/>
    </row>
    <row r="17" spans="2:17" x14ac:dyDescent="0.2">
      <c r="B17" s="42" t="s">
        <v>23</v>
      </c>
      <c r="C17" s="43">
        <f>SUMIF('Entrada 7TRAN'!$E$8:$E$43,'Reliquidación 7TRAN'!$B17,'Entrada 7TRAN'!F$8:F$43)</f>
        <v>0</v>
      </c>
      <c r="D17" s="43">
        <f>SUMIF('Entrada 7TRAN'!$E$8:$E$43,'Reliquidación 7TRAN'!$B17,'Entrada 7TRAN'!G$8:G$43)</f>
        <v>0</v>
      </c>
      <c r="E17" s="43">
        <f>SUMIF('Entrada 7TRAN'!$E$8:$E$43,'Reliquidación 7TRAN'!$B17,'Entrada 7TRAN'!H$8:H$43)</f>
        <v>0</v>
      </c>
      <c r="F17" s="43">
        <f>SUMIF('Entrada 7TRAN'!$E$8:$E$43,'Reliquidación 7TRAN'!$B17,'Entrada 7TRAN'!I$8:I$43)</f>
        <v>0</v>
      </c>
      <c r="G17" s="43">
        <f>SUMIF('Entrada 7TRAN'!$E$8:$E$43,'Reliquidación 7TRAN'!$B17,'Entrada 7TRAN'!J$8:J$43)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2"/>
        <v>0</v>
      </c>
      <c r="L17" s="43">
        <f t="shared" si="3"/>
        <v>0</v>
      </c>
      <c r="M17" s="43">
        <f t="shared" si="4"/>
        <v>0</v>
      </c>
      <c r="N17" s="43">
        <f t="shared" si="6"/>
        <v>0</v>
      </c>
      <c r="O17" s="43">
        <f t="shared" si="1"/>
        <v>0</v>
      </c>
      <c r="P17" s="43">
        <f t="shared" si="5"/>
        <v>0</v>
      </c>
      <c r="Q17" s="86"/>
    </row>
    <row r="18" spans="2:17" x14ac:dyDescent="0.2">
      <c r="B18" s="42" t="s">
        <v>24</v>
      </c>
      <c r="C18" s="43">
        <f>SUMIF('Entrada 7TRAN'!$E$8:$E$43,'Reliquidación 7TRAN'!$B18,'Entrada 7TRAN'!F$8:F$43)+SUMIF('Entrada 7TRAN'!$E$8:$E$43,"LUZ ANDES",'Entrada 7TRAN'!F$8:F$43)</f>
        <v>105835490.837</v>
      </c>
      <c r="D18" s="43">
        <f>SUMIF('Entrada 7TRAN'!$E$8:$E$43,'Reliquidación 7TRAN'!$B18,'Entrada 7TRAN'!G$8:G$43)+SUMIF('Entrada 7TRAN'!$E$8:$E$43,"LUZ ANDES",'Entrada 7TRAN'!G$8:G$43)</f>
        <v>550758138.64954495</v>
      </c>
      <c r="E18" s="43">
        <f>SUMIF('Entrada 7TRAN'!$E$8:$E$43,'Reliquidación 7TRAN'!$B18,'Entrada 7TRAN'!H$8:H$43)+SUMIF('Entrada 7TRAN'!$E$8:$E$43,"LUZ ANDES",'Entrada 7TRAN'!H$8:H$43)</f>
        <v>873990.5</v>
      </c>
      <c r="F18" s="43">
        <f>SUMIF('Entrada 7TRAN'!$E$8:$E$43,'Reliquidación 7TRAN'!$B18,'Entrada 7TRAN'!I$8:I$43)+SUMIF('Entrada 7TRAN'!$E$8:$E$43,"LUZ ANDES",'Entrada 7TRAN'!I$8:I$43)</f>
        <v>1597844.621</v>
      </c>
      <c r="G18" s="43">
        <f>SUMIF('Entrada 7TRAN'!$E$8:$E$43,'Reliquidación 7TRAN'!$B18,'Entrada 7TRAN'!J$8:J$43)+SUMIF('Entrada 7TRAN'!$E$8:$E$43,"LUZ ANDES",'Entrada 7TRAN'!J$8:J$43)</f>
        <v>463798691.7597006</v>
      </c>
      <c r="H18" s="43">
        <v>340324321.86138457</v>
      </c>
      <c r="I18" s="43">
        <f t="shared" si="0"/>
        <v>342039282.04993582</v>
      </c>
      <c r="J18" s="43">
        <v>0</v>
      </c>
      <c r="K18" s="43">
        <f t="shared" si="2"/>
        <v>0</v>
      </c>
      <c r="L18" s="43">
        <f t="shared" si="3"/>
        <v>805837973.80963635</v>
      </c>
      <c r="M18" s="43">
        <f t="shared" si="4"/>
        <v>0</v>
      </c>
      <c r="N18" s="43">
        <f t="shared" si="6"/>
        <v>805837973.80963635</v>
      </c>
      <c r="O18" s="43">
        <f t="shared" si="1"/>
        <v>-427721949.69649613</v>
      </c>
      <c r="P18" s="43">
        <f t="shared" si="5"/>
        <v>378116024.11314023</v>
      </c>
      <c r="Q18" s="86"/>
    </row>
    <row r="19" spans="2:17" x14ac:dyDescent="0.2">
      <c r="B19" s="42" t="s">
        <v>26</v>
      </c>
      <c r="C19" s="43">
        <f>SUMIF('Entrada 7TRAN'!$E$8:$E$43,'Reliquidación 7TRAN'!$B19,'Entrada 7TRAN'!F$8:F$43)</f>
        <v>37003444.303000003</v>
      </c>
      <c r="D19" s="43">
        <f>SUMIF('Entrada 7TRAN'!$E$8:$E$43,'Reliquidación 7TRAN'!$B19,'Entrada 7TRAN'!G$8:G$43)</f>
        <v>66992934.467</v>
      </c>
      <c r="E19" s="43">
        <f>SUMIF('Entrada 7TRAN'!$E$8:$E$43,'Reliquidación 7TRAN'!$B19,'Entrada 7TRAN'!H$8:H$43)</f>
        <v>990964.64199999999</v>
      </c>
      <c r="F19" s="43">
        <f>SUMIF('Entrada 7TRAN'!$E$8:$E$43,'Reliquidación 7TRAN'!$B19,'Entrada 7TRAN'!I$8:I$43)</f>
        <v>216428.342</v>
      </c>
      <c r="G19" s="43">
        <f>SUMIF('Entrada 7TRAN'!$E$8:$E$43,'Reliquidación 7TRAN'!$B19,'Entrada 7TRAN'!J$8:J$43)</f>
        <v>-78652656.980425775</v>
      </c>
      <c r="H19" s="43">
        <v>0</v>
      </c>
      <c r="I19" s="43">
        <f t="shared" si="0"/>
        <v>0</v>
      </c>
      <c r="J19" s="43">
        <v>0</v>
      </c>
      <c r="K19" s="43">
        <f t="shared" si="2"/>
        <v>0</v>
      </c>
      <c r="L19" s="43">
        <f t="shared" si="3"/>
        <v>-78652656.980425775</v>
      </c>
      <c r="M19" s="43">
        <f t="shared" si="4"/>
        <v>78652656.980425775</v>
      </c>
      <c r="N19" s="43">
        <f t="shared" si="6"/>
        <v>0</v>
      </c>
      <c r="O19" s="43">
        <f t="shared" si="1"/>
        <v>78652656.980425775</v>
      </c>
      <c r="P19" s="43">
        <f t="shared" si="5"/>
        <v>0</v>
      </c>
      <c r="Q19" s="86"/>
    </row>
    <row r="20" spans="2:17" x14ac:dyDescent="0.2">
      <c r="B20" s="42" t="s">
        <v>27</v>
      </c>
      <c r="C20" s="43">
        <f>SUMIF('Entrada 7TRAN'!$E$8:$E$43,'Reliquidación 7TRAN'!$B20,'Entrada 7TRAN'!F$8:F$43)</f>
        <v>4648902.6469999999</v>
      </c>
      <c r="D20" s="43">
        <f>SUMIF('Entrada 7TRAN'!$E$8:$E$43,'Reliquidación 7TRAN'!$B20,'Entrada 7TRAN'!G$8:G$43)</f>
        <v>16498351.562000001</v>
      </c>
      <c r="E20" s="43">
        <f>SUMIF('Entrada 7TRAN'!$E$8:$E$43,'Reliquidación 7TRAN'!$B20,'Entrada 7TRAN'!H$8:H$43)</f>
        <v>0</v>
      </c>
      <c r="F20" s="43">
        <f>SUMIF('Entrada 7TRAN'!$E$8:$E$43,'Reliquidación 7TRAN'!$B20,'Entrada 7TRAN'!I$8:I$43)</f>
        <v>31365.406999999999</v>
      </c>
      <c r="G20" s="43">
        <f>SUMIF('Entrada 7TRAN'!$E$8:$E$43,'Reliquidación 7TRAN'!$B20,'Entrada 7TRAN'!J$8:J$43)</f>
        <v>17653686.756012291</v>
      </c>
      <c r="H20" s="43">
        <v>10740369.781585639</v>
      </c>
      <c r="I20" s="43">
        <f t="shared" si="0"/>
        <v>10794492.585636185</v>
      </c>
      <c r="J20" s="43">
        <v>0</v>
      </c>
      <c r="K20" s="43">
        <f t="shared" si="2"/>
        <v>0</v>
      </c>
      <c r="L20" s="43">
        <f t="shared" si="3"/>
        <v>28448179.341648474</v>
      </c>
      <c r="M20" s="43">
        <f t="shared" si="4"/>
        <v>0</v>
      </c>
      <c r="N20" s="43">
        <f t="shared" si="6"/>
        <v>28448179.341648474</v>
      </c>
      <c r="O20" s="43">
        <f t="shared" si="1"/>
        <v>-15099698.85856968</v>
      </c>
      <c r="P20" s="43">
        <f t="shared" si="5"/>
        <v>13348480.483078795</v>
      </c>
      <c r="Q20" s="86"/>
    </row>
    <row r="21" spans="2:17" x14ac:dyDescent="0.2">
      <c r="B21" s="42" t="s">
        <v>28</v>
      </c>
      <c r="C21" s="43">
        <f>SUMIF('Entrada 7TRAN'!$E$8:$E$43,'Reliquidación 7TRAN'!$B21,'Entrada 7TRAN'!F$8:F$43)</f>
        <v>0</v>
      </c>
      <c r="D21" s="43">
        <f>SUMIF('Entrada 7TRAN'!$E$8:$E$43,'Reliquidación 7TRAN'!$B21,'Entrada 7TRAN'!G$8:G$43)</f>
        <v>0</v>
      </c>
      <c r="E21" s="43">
        <f>SUMIF('Entrada 7TRAN'!$E$8:$E$43,'Reliquidación 7TRAN'!$B21,'Entrada 7TRAN'!H$8:H$43)</f>
        <v>0</v>
      </c>
      <c r="F21" s="43">
        <f>SUMIF('Entrada 7TRAN'!$E$8:$E$43,'Reliquidación 7TRAN'!$B21,'Entrada 7TRAN'!I$8:I$43)</f>
        <v>0</v>
      </c>
      <c r="G21" s="43">
        <f>SUMIF('Entrada 7TRAN'!$E$8:$E$43,'Reliquidación 7TRAN'!$B21,'Entrada 7TRAN'!J$8:J$43)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2"/>
        <v>0</v>
      </c>
      <c r="L21" s="43">
        <f t="shared" si="3"/>
        <v>0</v>
      </c>
      <c r="M21" s="43">
        <f t="shared" si="4"/>
        <v>0</v>
      </c>
      <c r="N21" s="43">
        <f t="shared" si="6"/>
        <v>0</v>
      </c>
      <c r="O21" s="43">
        <f t="shared" si="1"/>
        <v>0</v>
      </c>
      <c r="P21" s="43">
        <f t="shared" si="5"/>
        <v>0</v>
      </c>
      <c r="Q21" s="86"/>
    </row>
    <row r="22" spans="2:17" x14ac:dyDescent="0.2">
      <c r="B22" s="42" t="s">
        <v>29</v>
      </c>
      <c r="C22" s="43">
        <f>SUMIF('Entrada 7TRAN'!$E$8:$E$43,'Reliquidación 7TRAN'!$B22,'Entrada 7TRAN'!F$8:F$43)</f>
        <v>2529575</v>
      </c>
      <c r="D22" s="43">
        <f>SUMIF('Entrada 7TRAN'!$E$8:$E$43,'Reliquidación 7TRAN'!$B22,'Entrada 7TRAN'!G$8:G$43)</f>
        <v>6943345</v>
      </c>
      <c r="E22" s="43">
        <f>SUMIF('Entrada 7TRAN'!$E$8:$E$43,'Reliquidación 7TRAN'!$B22,'Entrada 7TRAN'!H$8:H$43)</f>
        <v>512</v>
      </c>
      <c r="F22" s="43">
        <f>SUMIF('Entrada 7TRAN'!$E$8:$E$43,'Reliquidación 7TRAN'!$B22,'Entrada 7TRAN'!I$8:I$43)</f>
        <v>20437</v>
      </c>
      <c r="G22" s="43">
        <f>SUMIF('Entrada 7TRAN'!$E$8:$E$43,'Reliquidación 7TRAN'!$B22,'Entrada 7TRAN'!J$8:J$43)</f>
        <v>6615846.7900937106</v>
      </c>
      <c r="H22" s="43">
        <v>3896401.6082132533</v>
      </c>
      <c r="I22" s="43">
        <f t="shared" si="0"/>
        <v>3916036.3307630406</v>
      </c>
      <c r="J22" s="43">
        <v>0</v>
      </c>
      <c r="K22" s="43">
        <f t="shared" si="2"/>
        <v>0</v>
      </c>
      <c r="L22" s="43">
        <f t="shared" si="3"/>
        <v>10531883.120856751</v>
      </c>
      <c r="M22" s="43">
        <f t="shared" si="4"/>
        <v>0</v>
      </c>
      <c r="N22" s="43">
        <f t="shared" si="6"/>
        <v>10531883.120856751</v>
      </c>
      <c r="O22" s="43">
        <f t="shared" si="1"/>
        <v>-5590103.3816167871</v>
      </c>
      <c r="P22" s="43">
        <f t="shared" si="5"/>
        <v>4941779.7392399637</v>
      </c>
      <c r="Q22" s="86"/>
    </row>
    <row r="23" spans="2:17" x14ac:dyDescent="0.2">
      <c r="B23" s="42" t="s">
        <v>30</v>
      </c>
      <c r="C23" s="43">
        <f>SUMIF('Entrada 7TRAN'!$E$8:$E$43,'Reliquidación 7TRAN'!$B23,'Entrada 7TRAN'!F$8:F$43)</f>
        <v>7634817</v>
      </c>
      <c r="D23" s="43">
        <f>SUMIF('Entrada 7TRAN'!$E$8:$E$43,'Reliquidación 7TRAN'!$B23,'Entrada 7TRAN'!G$8:G$43)</f>
        <v>15346168</v>
      </c>
      <c r="E23" s="43">
        <f>SUMIF('Entrada 7TRAN'!$E$8:$E$43,'Reliquidación 7TRAN'!$B23,'Entrada 7TRAN'!H$8:H$43)</f>
        <v>563296</v>
      </c>
      <c r="F23" s="43">
        <f>SUMIF('Entrada 7TRAN'!$E$8:$E$43,'Reliquidación 7TRAN'!$B23,'Entrada 7TRAN'!I$8:I$43)</f>
        <v>144432</v>
      </c>
      <c r="G23" s="43">
        <f>SUMIF('Entrada 7TRAN'!$E$8:$E$43,'Reliquidación 7TRAN'!$B23,'Entrada 7TRAN'!J$8:J$43)</f>
        <v>15375075.06452251</v>
      </c>
      <c r="H23" s="43">
        <v>11499279.235046646</v>
      </c>
      <c r="I23" s="43">
        <f t="shared" si="0"/>
        <v>11557226.330855953</v>
      </c>
      <c r="J23" s="43">
        <v>0</v>
      </c>
      <c r="K23" s="43">
        <f t="shared" si="2"/>
        <v>0</v>
      </c>
      <c r="L23" s="43">
        <f t="shared" si="3"/>
        <v>26932301.395378463</v>
      </c>
      <c r="M23" s="43">
        <f t="shared" si="4"/>
        <v>0</v>
      </c>
      <c r="N23" s="43">
        <f t="shared" si="6"/>
        <v>26932301.395378463</v>
      </c>
      <c r="O23" s="43">
        <f t="shared" si="1"/>
        <v>-14295102.53554545</v>
      </c>
      <c r="P23" s="43">
        <f t="shared" si="5"/>
        <v>12637198.859833013</v>
      </c>
      <c r="Q23" s="86"/>
    </row>
    <row r="24" spans="2:17" x14ac:dyDescent="0.2">
      <c r="B24" s="42" t="s">
        <v>31</v>
      </c>
      <c r="C24" s="43">
        <f>SUMIF('Entrada 7TRAN'!$E$8:$E$43,'Reliquidación 7TRAN'!$B24,'Entrada 7TRAN'!F$8:F$43)</f>
        <v>1710055</v>
      </c>
      <c r="D24" s="43">
        <f>SUMIF('Entrada 7TRAN'!$E$8:$E$43,'Reliquidación 7TRAN'!$B24,'Entrada 7TRAN'!G$8:G$43)</f>
        <v>12801357</v>
      </c>
      <c r="E24" s="43">
        <f>SUMIF('Entrada 7TRAN'!$E$8:$E$43,'Reliquidación 7TRAN'!$B24,'Entrada 7TRAN'!H$8:H$43)</f>
        <v>23</v>
      </c>
      <c r="F24" s="43">
        <f>SUMIF('Entrada 7TRAN'!$E$8:$E$43,'Reliquidación 7TRAN'!$B24,'Entrada 7TRAN'!I$8:I$43)</f>
        <v>75415</v>
      </c>
      <c r="G24" s="43">
        <f>SUMIF('Entrada 7TRAN'!$E$8:$E$43,'Reliquidación 7TRAN'!$B24,'Entrada 7TRAN'!J$8:J$43)</f>
        <v>9523922.5410429388</v>
      </c>
      <c r="H24" s="43">
        <v>6732793.3079285398</v>
      </c>
      <c r="I24" s="43">
        <f t="shared" si="0"/>
        <v>6766721.1577445306</v>
      </c>
      <c r="J24" s="43">
        <v>0</v>
      </c>
      <c r="K24" s="43">
        <f t="shared" si="2"/>
        <v>0</v>
      </c>
      <c r="L24" s="43">
        <f t="shared" si="3"/>
        <v>16290643.698787469</v>
      </c>
      <c r="M24" s="43">
        <f t="shared" si="4"/>
        <v>0</v>
      </c>
      <c r="N24" s="43">
        <f t="shared" si="6"/>
        <v>16290643.698787469</v>
      </c>
      <c r="O24" s="43">
        <f t="shared" si="1"/>
        <v>-8646733.104069801</v>
      </c>
      <c r="P24" s="43">
        <f t="shared" si="5"/>
        <v>7643910.5947176684</v>
      </c>
      <c r="Q24" s="86"/>
    </row>
    <row r="25" spans="2:17" x14ac:dyDescent="0.2">
      <c r="B25" s="42" t="s">
        <v>32</v>
      </c>
      <c r="C25" s="43">
        <f>SUMIF('Entrada 7TRAN'!$E$8:$E$43,'Reliquidación 7TRAN'!$B25,'Entrada 7TRAN'!F$8:F$43)</f>
        <v>428150</v>
      </c>
      <c r="D25" s="43">
        <f>SUMIF('Entrada 7TRAN'!$E$8:$E$43,'Reliquidación 7TRAN'!$B25,'Entrada 7TRAN'!G$8:G$43)</f>
        <v>2819733</v>
      </c>
      <c r="E25" s="43">
        <f>SUMIF('Entrada 7TRAN'!$E$8:$E$43,'Reliquidación 7TRAN'!$B25,'Entrada 7TRAN'!H$8:H$43)</f>
        <v>224458</v>
      </c>
      <c r="F25" s="43">
        <f>SUMIF('Entrada 7TRAN'!$E$8:$E$43,'Reliquidación 7TRAN'!$B25,'Entrada 7TRAN'!I$8:I$43)</f>
        <v>18645</v>
      </c>
      <c r="G25" s="43">
        <f>SUMIF('Entrada 7TRAN'!$E$8:$E$43,'Reliquidación 7TRAN'!$B25,'Entrada 7TRAN'!J$8:J$43)</f>
        <v>2370191.6456319829</v>
      </c>
      <c r="H25" s="43">
        <v>2575819.8954684194</v>
      </c>
      <c r="I25" s="43">
        <f t="shared" si="0"/>
        <v>2588799.9509327062</v>
      </c>
      <c r="J25" s="43">
        <v>0</v>
      </c>
      <c r="K25" s="43">
        <f t="shared" si="2"/>
        <v>0</v>
      </c>
      <c r="L25" s="43">
        <f t="shared" si="3"/>
        <v>4958991.5965646897</v>
      </c>
      <c r="M25" s="43">
        <f t="shared" si="4"/>
        <v>0</v>
      </c>
      <c r="N25" s="43">
        <f t="shared" si="6"/>
        <v>4958991.5965646897</v>
      </c>
      <c r="O25" s="43">
        <f t="shared" si="1"/>
        <v>-2632129.0670675826</v>
      </c>
      <c r="P25" s="43">
        <f t="shared" si="5"/>
        <v>2326862.529497107</v>
      </c>
      <c r="Q25" s="86"/>
    </row>
    <row r="26" spans="2:17" x14ac:dyDescent="0.2">
      <c r="B26" s="42" t="s">
        <v>33</v>
      </c>
      <c r="C26" s="43">
        <f>SUMIF('Entrada 7TRAN'!$E$8:$E$43,'Reliquidación 7TRAN'!$B26,'Entrada 7TRAN'!F$8:F$43)</f>
        <v>1207749</v>
      </c>
      <c r="D26" s="43">
        <f>SUMIF('Entrada 7TRAN'!$E$8:$E$43,'Reliquidación 7TRAN'!$B26,'Entrada 7TRAN'!G$8:G$43)</f>
        <v>1958483</v>
      </c>
      <c r="E26" s="43">
        <f>SUMIF('Entrada 7TRAN'!$E$8:$E$43,'Reliquidación 7TRAN'!$B26,'Entrada 7TRAN'!H$8:H$43)</f>
        <v>123959</v>
      </c>
      <c r="F26" s="43">
        <f>SUMIF('Entrada 7TRAN'!$E$8:$E$43,'Reliquidación 7TRAN'!$B26,'Entrada 7TRAN'!I$8:I$43)</f>
        <v>14811</v>
      </c>
      <c r="G26" s="43">
        <f>SUMIF('Entrada 7TRAN'!$E$8:$E$43,'Reliquidación 7TRAN'!$B26,'Entrada 7TRAN'!J$8:J$43)</f>
        <v>2237538.5269340719</v>
      </c>
      <c r="H26" s="43">
        <v>2155697.9666463174</v>
      </c>
      <c r="I26" s="43">
        <f t="shared" si="0"/>
        <v>2166560.9463214669</v>
      </c>
      <c r="J26" s="43">
        <v>0</v>
      </c>
      <c r="K26" s="43">
        <f t="shared" si="2"/>
        <v>0</v>
      </c>
      <c r="L26" s="43">
        <f t="shared" si="3"/>
        <v>4404099.4732555393</v>
      </c>
      <c r="M26" s="43">
        <f t="shared" si="4"/>
        <v>0</v>
      </c>
      <c r="N26" s="43">
        <f t="shared" si="6"/>
        <v>4404099.4732555393</v>
      </c>
      <c r="O26" s="43">
        <f t="shared" si="1"/>
        <v>-2337603.9285574369</v>
      </c>
      <c r="P26" s="43">
        <f t="shared" si="5"/>
        <v>2066495.5446981024</v>
      </c>
      <c r="Q26" s="86"/>
    </row>
    <row r="27" spans="2:17" x14ac:dyDescent="0.2">
      <c r="B27" s="42" t="s">
        <v>34</v>
      </c>
      <c r="C27" s="43">
        <f>SUMIF('Entrada 7TRAN'!$E$8:$E$43,'Reliquidación 7TRAN'!$B27,'Entrada 7TRAN'!F$8:F$43)</f>
        <v>4644915</v>
      </c>
      <c r="D27" s="43">
        <f>SUMIF('Entrada 7TRAN'!$E$8:$E$43,'Reliquidación 7TRAN'!$B27,'Entrada 7TRAN'!G$8:G$43)</f>
        <v>8092754</v>
      </c>
      <c r="E27" s="43">
        <f>SUMIF('Entrada 7TRAN'!$E$8:$E$43,'Reliquidación 7TRAN'!$B27,'Entrada 7TRAN'!H$8:H$43)</f>
        <v>413737</v>
      </c>
      <c r="F27" s="43">
        <f>SUMIF('Entrada 7TRAN'!$E$8:$E$43,'Reliquidación 7TRAN'!$B27,'Entrada 7TRAN'!I$8:I$43)</f>
        <v>95593</v>
      </c>
      <c r="G27" s="43">
        <f>SUMIF('Entrada 7TRAN'!$E$8:$E$43,'Reliquidación 7TRAN'!$B27,'Entrada 7TRAN'!J$8:J$43)</f>
        <v>7031249.3627414294</v>
      </c>
      <c r="H27" s="43">
        <v>4879797.4334430471</v>
      </c>
      <c r="I27" s="43">
        <f t="shared" si="0"/>
        <v>4904387.6780684609</v>
      </c>
      <c r="J27" s="43">
        <v>0</v>
      </c>
      <c r="K27" s="43">
        <f t="shared" si="2"/>
        <v>0</v>
      </c>
      <c r="L27" s="43">
        <f t="shared" si="3"/>
        <v>11935637.04080989</v>
      </c>
      <c r="M27" s="43">
        <f t="shared" si="4"/>
        <v>0</v>
      </c>
      <c r="N27" s="43">
        <f t="shared" si="6"/>
        <v>11935637.04080989</v>
      </c>
      <c r="O27" s="43">
        <f t="shared" si="1"/>
        <v>-6335186.6155303735</v>
      </c>
      <c r="P27" s="43">
        <f t="shared" si="5"/>
        <v>5600450.4252795167</v>
      </c>
      <c r="Q27" s="86"/>
    </row>
    <row r="28" spans="2:17" x14ac:dyDescent="0.2">
      <c r="B28" s="42" t="s">
        <v>35</v>
      </c>
      <c r="C28" s="43">
        <f>SUMIF('Entrada 7TRAN'!$E$8:$E$43,'Reliquidación 7TRAN'!$B28,'Entrada 7TRAN'!F$8:F$43)</f>
        <v>23228606.84</v>
      </c>
      <c r="D28" s="43">
        <f>SUMIF('Entrada 7TRAN'!$E$8:$E$43,'Reliquidación 7TRAN'!$B28,'Entrada 7TRAN'!G$8:G$43)</f>
        <v>58052228.479999997</v>
      </c>
      <c r="E28" s="43">
        <f>SUMIF('Entrada 7TRAN'!$E$8:$E$43,'Reliquidación 7TRAN'!$B28,'Entrada 7TRAN'!H$8:H$43)</f>
        <v>344292.01699999999</v>
      </c>
      <c r="F28" s="43">
        <f>SUMIF('Entrada 7TRAN'!$E$8:$E$43,'Reliquidación 7TRAN'!$B28,'Entrada 7TRAN'!I$8:I$43)</f>
        <v>182052.5</v>
      </c>
      <c r="G28" s="43">
        <f>SUMIF('Entrada 7TRAN'!$E$8:$E$43,'Reliquidación 7TRAN'!$B28,'Entrada 7TRAN'!J$8:J$43)</f>
        <v>44915909.345070817</v>
      </c>
      <c r="H28" s="43">
        <v>30866817.755972505</v>
      </c>
      <c r="I28" s="43">
        <f t="shared" si="0"/>
        <v>31022361.630442698</v>
      </c>
      <c r="J28" s="43">
        <v>0</v>
      </c>
      <c r="K28" s="43">
        <f t="shared" si="2"/>
        <v>0</v>
      </c>
      <c r="L28" s="43">
        <f t="shared" si="3"/>
        <v>75938270.975513518</v>
      </c>
      <c r="M28" s="43">
        <f t="shared" si="4"/>
        <v>0</v>
      </c>
      <c r="N28" s="43">
        <f t="shared" si="6"/>
        <v>75938270.975513518</v>
      </c>
      <c r="O28" s="43">
        <f t="shared" si="1"/>
        <v>-40306446.672740653</v>
      </c>
      <c r="P28" s="43">
        <f t="shared" si="5"/>
        <v>35631824.302772865</v>
      </c>
      <c r="Q28" s="86"/>
    </row>
    <row r="29" spans="2:17" x14ac:dyDescent="0.2">
      <c r="B29" s="42" t="s">
        <v>36</v>
      </c>
      <c r="C29" s="43">
        <f>SUMIF('Entrada 7TRAN'!$E$8:$E$43,'Reliquidación 7TRAN'!$B29,'Entrada 7TRAN'!F$8:F$43)</f>
        <v>10434754.33</v>
      </c>
      <c r="D29" s="43">
        <f>SUMIF('Entrada 7TRAN'!$E$8:$E$43,'Reliquidación 7TRAN'!$B29,'Entrada 7TRAN'!G$8:G$43)</f>
        <v>4082568.36</v>
      </c>
      <c r="E29" s="43">
        <f>SUMIF('Entrada 7TRAN'!$E$8:$E$43,'Reliquidación 7TRAN'!$B29,'Entrada 7TRAN'!H$8:H$43)</f>
        <v>204604.52</v>
      </c>
      <c r="F29" s="43">
        <f>SUMIF('Entrada 7TRAN'!$E$8:$E$43,'Reliquidación 7TRAN'!$B29,'Entrada 7TRAN'!I$8:I$43)</f>
        <v>19249</v>
      </c>
      <c r="G29" s="43">
        <f>SUMIF('Entrada 7TRAN'!$E$8:$E$43,'Reliquidación 7TRAN'!$B29,'Entrada 7TRAN'!J$8:J$43)</f>
        <v>10008355.094369181</v>
      </c>
      <c r="H29" s="43">
        <v>8518159.5106781889</v>
      </c>
      <c r="I29" s="43">
        <f t="shared" si="0"/>
        <v>8561084.1666670498</v>
      </c>
      <c r="J29" s="43">
        <v>0</v>
      </c>
      <c r="K29" s="43">
        <f t="shared" si="2"/>
        <v>0</v>
      </c>
      <c r="L29" s="43">
        <f t="shared" si="3"/>
        <v>18569439.261036232</v>
      </c>
      <c r="M29" s="43">
        <f t="shared" si="4"/>
        <v>0</v>
      </c>
      <c r="N29" s="43">
        <f t="shared" si="6"/>
        <v>18569439.261036232</v>
      </c>
      <c r="O29" s="43">
        <f t="shared" si="1"/>
        <v>-9856270.1481443904</v>
      </c>
      <c r="P29" s="43">
        <f t="shared" si="5"/>
        <v>8713169.1128918417</v>
      </c>
      <c r="Q29" s="86"/>
    </row>
    <row r="30" spans="2:17" x14ac:dyDescent="0.2">
      <c r="B30" s="42" t="s">
        <v>37</v>
      </c>
      <c r="C30" s="43">
        <f>SUMIF('Entrada 7TRAN'!$E$8:$E$43,'Reliquidación 7TRAN'!$B30,'Entrada 7TRAN'!F$8:F$43)</f>
        <v>40664118.969999999</v>
      </c>
      <c r="D30" s="43">
        <f>SUMIF('Entrada 7TRAN'!$E$8:$E$43,'Reliquidación 7TRAN'!$B30,'Entrada 7TRAN'!G$8:G$43)</f>
        <v>90559490.280000001</v>
      </c>
      <c r="E30" s="43">
        <f>SUMIF('Entrada 7TRAN'!$E$8:$E$43,'Reliquidación 7TRAN'!$B30,'Entrada 7TRAN'!H$8:H$43)</f>
        <v>240297.55</v>
      </c>
      <c r="F30" s="43">
        <f>SUMIF('Entrada 7TRAN'!$E$8:$E$43,'Reliquidación 7TRAN'!$B30,'Entrada 7TRAN'!I$8:I$43)</f>
        <v>211339.80799999999</v>
      </c>
      <c r="G30" s="43">
        <f>SUMIF('Entrada 7TRAN'!$E$8:$E$43,'Reliquidación 7TRAN'!$B30,'Entrada 7TRAN'!J$8:J$43)</f>
        <v>88678921.276428923</v>
      </c>
      <c r="H30" s="43">
        <v>61929815.595910087</v>
      </c>
      <c r="I30" s="43">
        <f t="shared" si="0"/>
        <v>62241891.934299342</v>
      </c>
      <c r="J30" s="43">
        <v>0</v>
      </c>
      <c r="K30" s="43">
        <f t="shared" si="2"/>
        <v>0</v>
      </c>
      <c r="L30" s="43">
        <f t="shared" si="3"/>
        <v>150920813.21072826</v>
      </c>
      <c r="M30" s="43">
        <f t="shared" si="4"/>
        <v>0</v>
      </c>
      <c r="N30" s="43">
        <f t="shared" si="6"/>
        <v>150920813.21072826</v>
      </c>
      <c r="O30" s="43">
        <f t="shared" si="1"/>
        <v>-80105612.510539979</v>
      </c>
      <c r="P30" s="43">
        <f t="shared" si="5"/>
        <v>70815200.700188279</v>
      </c>
      <c r="Q30" s="86"/>
    </row>
    <row r="31" spans="2:17" x14ac:dyDescent="0.2">
      <c r="B31" s="42" t="s">
        <v>38</v>
      </c>
      <c r="C31" s="43">
        <f>SUMIF('Entrada 7TRAN'!$E$8:$E$43,'Reliquidación 7TRAN'!$B31,'Entrada 7TRAN'!F$8:F$43)</f>
        <v>2219270</v>
      </c>
      <c r="D31" s="43">
        <f>SUMIF('Entrada 7TRAN'!$E$8:$E$43,'Reliquidación 7TRAN'!$B31,'Entrada 7TRAN'!G$8:G$43)</f>
        <v>2867470</v>
      </c>
      <c r="E31" s="43">
        <f>SUMIF('Entrada 7TRAN'!$E$8:$E$43,'Reliquidación 7TRAN'!$B31,'Entrada 7TRAN'!H$8:H$43)</f>
        <v>37197</v>
      </c>
      <c r="F31" s="43">
        <f>SUMIF('Entrada 7TRAN'!$E$8:$E$43,'Reliquidación 7TRAN'!$B31,'Entrada 7TRAN'!I$8:I$43)</f>
        <v>19109</v>
      </c>
      <c r="G31" s="43">
        <f>SUMIF('Entrada 7TRAN'!$E$8:$E$43,'Reliquidación 7TRAN'!$B31,'Entrada 7TRAN'!J$8:J$43)</f>
        <v>2970235.7776616728</v>
      </c>
      <c r="H31" s="43">
        <v>2300704.328535377</v>
      </c>
      <c r="I31" s="43">
        <f t="shared" si="0"/>
        <v>2312298.0233600237</v>
      </c>
      <c r="J31" s="43">
        <v>0</v>
      </c>
      <c r="K31" s="43">
        <f t="shared" si="2"/>
        <v>0</v>
      </c>
      <c r="L31" s="43">
        <f t="shared" si="3"/>
        <v>5282533.801021697</v>
      </c>
      <c r="M31" s="43">
        <f t="shared" si="4"/>
        <v>0</v>
      </c>
      <c r="N31" s="43">
        <f t="shared" si="6"/>
        <v>5282533.801021697</v>
      </c>
      <c r="O31" s="43">
        <f t="shared" si="1"/>
        <v>-2803858.5052389149</v>
      </c>
      <c r="P31" s="43">
        <f t="shared" si="5"/>
        <v>2478675.2957827821</v>
      </c>
      <c r="Q31" s="86"/>
    </row>
    <row r="32" spans="2:17" x14ac:dyDescent="0.2">
      <c r="B32" s="42" t="s">
        <v>39</v>
      </c>
      <c r="C32" s="43">
        <f>SUMIF('Entrada 7TRAN'!$E$8:$E$43,'Reliquidación 7TRAN'!$B32,'Entrada 7TRAN'!F$8:F$43)</f>
        <v>43366931.2927</v>
      </c>
      <c r="D32" s="43">
        <f>SUMIF('Entrada 7TRAN'!$E$8:$E$43,'Reliquidación 7TRAN'!$B32,'Entrada 7TRAN'!G$8:G$43)</f>
        <v>118633381.88410001</v>
      </c>
      <c r="E32" s="43">
        <f>SUMIF('Entrada 7TRAN'!$E$8:$E$43,'Reliquidación 7TRAN'!$B32,'Entrada 7TRAN'!H$8:H$43)</f>
        <v>2154770.7999999998</v>
      </c>
      <c r="F32" s="43">
        <f>SUMIF('Entrada 7TRAN'!$E$8:$E$43,'Reliquidación 7TRAN'!$B32,'Entrada 7TRAN'!I$8:I$43)</f>
        <v>739940.58109999995</v>
      </c>
      <c r="G32" s="43">
        <f>SUMIF('Entrada 7TRAN'!$E$8:$E$43,'Reliquidación 7TRAN'!$B32,'Entrada 7TRAN'!J$8:J$43)</f>
        <v>-122133951.4776118</v>
      </c>
      <c r="H32" s="43">
        <v>0</v>
      </c>
      <c r="I32" s="43">
        <f t="shared" si="0"/>
        <v>0</v>
      </c>
      <c r="J32" s="43">
        <v>0</v>
      </c>
      <c r="K32" s="43">
        <f t="shared" si="2"/>
        <v>0</v>
      </c>
      <c r="L32" s="43">
        <f t="shared" si="3"/>
        <v>-122133951.4776118</v>
      </c>
      <c r="M32" s="43">
        <f t="shared" si="4"/>
        <v>122133951.4776118</v>
      </c>
      <c r="N32" s="43">
        <f t="shared" si="6"/>
        <v>0</v>
      </c>
      <c r="O32" s="43">
        <f t="shared" si="1"/>
        <v>122133951.4776118</v>
      </c>
      <c r="P32" s="43">
        <f t="shared" si="5"/>
        <v>0</v>
      </c>
      <c r="Q32" s="86"/>
    </row>
    <row r="33" spans="2:17" x14ac:dyDescent="0.2">
      <c r="B33" s="42" t="s">
        <v>40</v>
      </c>
      <c r="C33" s="43">
        <f>SUMIF('Entrada 7TRAN'!$E$8:$E$43,'Reliquidación 7TRAN'!$B33,'Entrada 7TRAN'!F$8:F$43)</f>
        <v>1599904</v>
      </c>
      <c r="D33" s="43">
        <f>SUMIF('Entrada 7TRAN'!$E$8:$E$43,'Reliquidación 7TRAN'!$B33,'Entrada 7TRAN'!G$8:G$43)</f>
        <v>2793061.7</v>
      </c>
      <c r="E33" s="43">
        <f>SUMIF('Entrada 7TRAN'!$E$8:$E$43,'Reliquidación 7TRAN'!$B33,'Entrada 7TRAN'!H$8:H$43)</f>
        <v>40216</v>
      </c>
      <c r="F33" s="43">
        <f>SUMIF('Entrada 7TRAN'!$E$8:$E$43,'Reliquidación 7TRAN'!$B33,'Entrada 7TRAN'!I$8:I$43)</f>
        <v>90763</v>
      </c>
      <c r="G33" s="43">
        <f>SUMIF('Entrada 7TRAN'!$E$8:$E$43,'Reliquidación 7TRAN'!$B33,'Entrada 7TRAN'!J$8:J$43)</f>
        <v>3124425.4811503608</v>
      </c>
      <c r="H33" s="43">
        <v>2377174.274037709</v>
      </c>
      <c r="I33" s="43">
        <f t="shared" si="0"/>
        <v>2389153.3157321885</v>
      </c>
      <c r="J33" s="43">
        <v>0</v>
      </c>
      <c r="K33" s="43">
        <f t="shared" si="2"/>
        <v>0</v>
      </c>
      <c r="L33" s="43">
        <f t="shared" si="3"/>
        <v>5513578.7968825493</v>
      </c>
      <c r="M33" s="43">
        <f t="shared" si="4"/>
        <v>0</v>
      </c>
      <c r="N33" s="43">
        <f t="shared" si="6"/>
        <v>5513578.7968825493</v>
      </c>
      <c r="O33" s="43">
        <f t="shared" si="1"/>
        <v>-2926492.3588286536</v>
      </c>
      <c r="P33" s="43">
        <f t="shared" si="5"/>
        <v>2587086.4380538957</v>
      </c>
      <c r="Q33" s="86"/>
    </row>
    <row r="34" spans="2:17" x14ac:dyDescent="0.2">
      <c r="B34" s="42" t="s">
        <v>41</v>
      </c>
      <c r="C34" s="43">
        <f>SUMIF('Entrada 7TRAN'!$E$8:$E$43,'Reliquidación 7TRAN'!$B34,'Entrada 7TRAN'!F$8:F$43)</f>
        <v>1328047.5</v>
      </c>
      <c r="D34" s="43">
        <f>SUMIF('Entrada 7TRAN'!$E$8:$E$43,'Reliquidación 7TRAN'!$B34,'Entrada 7TRAN'!G$8:G$43)</f>
        <v>9654550.4544999991</v>
      </c>
      <c r="E34" s="43">
        <f>SUMIF('Entrada 7TRAN'!$E$8:$E$43,'Reliquidación 7TRAN'!$B34,'Entrada 7TRAN'!H$8:H$43)</f>
        <v>4520</v>
      </c>
      <c r="F34" s="43">
        <f>SUMIF('Entrada 7TRAN'!$E$8:$E$43,'Reliquidación 7TRAN'!$B34,'Entrada 7TRAN'!I$8:I$43)</f>
        <v>40135.199999999997</v>
      </c>
      <c r="G34" s="43">
        <f>SUMIF('Entrada 7TRAN'!$E$8:$E$43,'Reliquidación 7TRAN'!$B34,'Entrada 7TRAN'!J$8:J$43)</f>
        <v>7928851.6296286909</v>
      </c>
      <c r="H34" s="43">
        <v>5857983.6915533226</v>
      </c>
      <c r="I34" s="43">
        <f t="shared" si="0"/>
        <v>5887503.2062364034</v>
      </c>
      <c r="J34" s="43">
        <v>0</v>
      </c>
      <c r="K34" s="43">
        <f t="shared" si="2"/>
        <v>0</v>
      </c>
      <c r="L34" s="43">
        <f t="shared" si="3"/>
        <v>13816354.835865095</v>
      </c>
      <c r="M34" s="43">
        <f t="shared" si="4"/>
        <v>0</v>
      </c>
      <c r="N34" s="43">
        <f t="shared" si="6"/>
        <v>13816354.835865095</v>
      </c>
      <c r="O34" s="43">
        <f t="shared" si="1"/>
        <v>-7333432.3029691949</v>
      </c>
      <c r="P34" s="43">
        <f t="shared" si="5"/>
        <v>6482922.5328959003</v>
      </c>
      <c r="Q34" s="86"/>
    </row>
    <row r="35" spans="2:17" x14ac:dyDescent="0.2">
      <c r="B35" s="42" t="s">
        <v>42</v>
      </c>
      <c r="C35" s="43">
        <f>SUMIF('Entrada 7TRAN'!$E$8:$E$43,'Reliquidación 7TRAN'!$B35,'Entrada 7TRAN'!F$8:F$43)</f>
        <v>5920564.7000000002</v>
      </c>
      <c r="D35" s="43">
        <f>SUMIF('Entrada 7TRAN'!$E$8:$E$43,'Reliquidación 7TRAN'!$B35,'Entrada 7TRAN'!G$8:G$43)</f>
        <v>6370444.5549999997</v>
      </c>
      <c r="E35" s="43">
        <f>SUMIF('Entrada 7TRAN'!$E$8:$E$43,'Reliquidación 7TRAN'!$B35,'Entrada 7TRAN'!H$8:H$43)</f>
        <v>251144</v>
      </c>
      <c r="F35" s="43">
        <f>SUMIF('Entrada 7TRAN'!$E$8:$E$43,'Reliquidación 7TRAN'!$B35,'Entrada 7TRAN'!I$8:I$43)</f>
        <v>28672.674900000002</v>
      </c>
      <c r="G35" s="43">
        <f>SUMIF('Entrada 7TRAN'!$E$8:$E$43,'Reliquidación 7TRAN'!$B35,'Entrada 7TRAN'!J$8:J$43)</f>
        <v>7196736.6489186063</v>
      </c>
      <c r="H35" s="43">
        <v>5586504.641652883</v>
      </c>
      <c r="I35" s="43">
        <f t="shared" si="0"/>
        <v>5614656.1208101492</v>
      </c>
      <c r="J35" s="43">
        <v>0</v>
      </c>
      <c r="K35" s="43">
        <f t="shared" si="2"/>
        <v>0</v>
      </c>
      <c r="L35" s="43">
        <f t="shared" si="3"/>
        <v>12811392.769728756</v>
      </c>
      <c r="M35" s="43">
        <f t="shared" si="4"/>
        <v>0</v>
      </c>
      <c r="N35" s="43">
        <f t="shared" si="6"/>
        <v>12811392.769728756</v>
      </c>
      <c r="O35" s="43">
        <f t="shared" si="1"/>
        <v>-6800019.4479423398</v>
      </c>
      <c r="P35" s="43">
        <f t="shared" si="5"/>
        <v>6011373.3217864158</v>
      </c>
      <c r="Q35" s="86"/>
    </row>
    <row r="36" spans="2:17" x14ac:dyDescent="0.2">
      <c r="B36" s="42" t="s">
        <v>43</v>
      </c>
      <c r="C36" s="43">
        <f>SUMIF('Entrada 7TRAN'!$E$8:$E$43,'Reliquidación 7TRAN'!$B36,'Entrada 7TRAN'!F$8:F$43)</f>
        <v>11293541.5</v>
      </c>
      <c r="D36" s="43">
        <f>SUMIF('Entrada 7TRAN'!$E$8:$E$43,'Reliquidación 7TRAN'!$B36,'Entrada 7TRAN'!G$8:G$43)</f>
        <v>5362850.2964000003</v>
      </c>
      <c r="E36" s="43">
        <f>SUMIF('Entrada 7TRAN'!$E$8:$E$43,'Reliquidación 7TRAN'!$B36,'Entrada 7TRAN'!H$8:H$43)</f>
        <v>339324</v>
      </c>
      <c r="F36" s="43">
        <f>SUMIF('Entrada 7TRAN'!$E$8:$E$43,'Reliquidación 7TRAN'!$B36,'Entrada 7TRAN'!I$8:I$43)</f>
        <v>77313.899999999994</v>
      </c>
      <c r="G36" s="43">
        <f>SUMIF('Entrada 7TRAN'!$E$8:$E$43,'Reliquidación 7TRAN'!$B36,'Entrada 7TRAN'!J$8:J$43)</f>
        <v>9963273.1937409192</v>
      </c>
      <c r="H36" s="43">
        <v>6361916.9856825685</v>
      </c>
      <c r="I36" s="43">
        <f t="shared" si="0"/>
        <v>6393975.9178612614</v>
      </c>
      <c r="J36" s="43">
        <v>0</v>
      </c>
      <c r="K36" s="43">
        <f t="shared" si="2"/>
        <v>0</v>
      </c>
      <c r="L36" s="43">
        <f t="shared" si="3"/>
        <v>16357249.11160218</v>
      </c>
      <c r="M36" s="43">
        <f t="shared" si="4"/>
        <v>0</v>
      </c>
      <c r="N36" s="43">
        <f t="shared" si="6"/>
        <v>16357249.11160218</v>
      </c>
      <c r="O36" s="43">
        <f t="shared" si="1"/>
        <v>-8682085.8647429757</v>
      </c>
      <c r="P36" s="43">
        <f t="shared" si="5"/>
        <v>7675163.246859204</v>
      </c>
      <c r="Q36" s="86"/>
    </row>
    <row r="37" spans="2:17" x14ac:dyDescent="0.2">
      <c r="B37" s="42" t="s">
        <v>45</v>
      </c>
      <c r="C37" s="43">
        <f>SUMIF('Entrada 7TRAN'!$E$8:$E$43,'Reliquidación 7TRAN'!$B37,'Entrada 7TRAN'!F$8:F$43)</f>
        <v>435933.99999999988</v>
      </c>
      <c r="D37" s="43">
        <f>SUMIF('Entrada 7TRAN'!$E$8:$E$43,'Reliquidación 7TRAN'!$B37,'Entrada 7TRAN'!G$8:G$43)</f>
        <v>919290</v>
      </c>
      <c r="E37" s="43">
        <f>SUMIF('Entrada 7TRAN'!$E$8:$E$43,'Reliquidación 7TRAN'!$B37,'Entrada 7TRAN'!H$8:H$43)</f>
        <v>43245</v>
      </c>
      <c r="F37" s="43">
        <f>SUMIF('Entrada 7TRAN'!$E$8:$E$43,'Reliquidación 7TRAN'!$B37,'Entrada 7TRAN'!I$8:I$43)</f>
        <v>12427</v>
      </c>
      <c r="G37" s="43">
        <f>SUMIF('Entrada 7TRAN'!$E$8:$E$43,'Reliquidación 7TRAN'!$B37,'Entrada 7TRAN'!J$8:J$43)</f>
        <v>931315.02514265734</v>
      </c>
      <c r="H37" s="43">
        <v>709345.64246300654</v>
      </c>
      <c r="I37" s="43">
        <f t="shared" si="0"/>
        <v>712920.17257620208</v>
      </c>
      <c r="J37" s="43">
        <v>0</v>
      </c>
      <c r="K37" s="43">
        <f t="shared" si="2"/>
        <v>0</v>
      </c>
      <c r="L37" s="43">
        <f t="shared" si="3"/>
        <v>1644235.1977188594</v>
      </c>
      <c r="M37" s="43">
        <f t="shared" si="4"/>
        <v>0</v>
      </c>
      <c r="N37" s="43">
        <f t="shared" si="6"/>
        <v>1644235.1977188594</v>
      </c>
      <c r="O37" s="43">
        <f t="shared" si="1"/>
        <v>-872725.6686640702</v>
      </c>
      <c r="P37" s="43">
        <f t="shared" si="5"/>
        <v>771509.52905478922</v>
      </c>
      <c r="Q37" s="86"/>
    </row>
    <row r="38" spans="2:17" x14ac:dyDescent="0.2">
      <c r="B38" s="42" t="s">
        <v>46</v>
      </c>
      <c r="C38" s="43">
        <f>SUMIF('Entrada 7TRAN'!$E$8:$E$43,'Reliquidación 7TRAN'!$B38,'Entrada 7TRAN'!F$8:F$43)</f>
        <v>4512098.3830000004</v>
      </c>
      <c r="D38" s="43">
        <f>SUMIF('Entrada 7TRAN'!$E$8:$E$43,'Reliquidación 7TRAN'!$B38,'Entrada 7TRAN'!G$8:G$43)</f>
        <v>17811131.941</v>
      </c>
      <c r="E38" s="43">
        <f>SUMIF('Entrada 7TRAN'!$E$8:$E$43,'Reliquidación 7TRAN'!$B38,'Entrada 7TRAN'!H$8:H$43)</f>
        <v>13458</v>
      </c>
      <c r="F38" s="43">
        <f>SUMIF('Entrada 7TRAN'!$E$8:$E$43,'Reliquidación 7TRAN'!$B38,'Entrada 7TRAN'!I$8:I$43)</f>
        <v>42244.014000000003</v>
      </c>
      <c r="G38" s="43">
        <f>SUMIF('Entrada 7TRAN'!$E$8:$E$43,'Reliquidación 7TRAN'!$B38,'Entrada 7TRAN'!J$8:J$43)</f>
        <v>15492493.16754091</v>
      </c>
      <c r="H38" s="43">
        <v>9997265.9976442214</v>
      </c>
      <c r="I38" s="43">
        <f t="shared" si="0"/>
        <v>10047644.15776673</v>
      </c>
      <c r="J38" s="43">
        <v>0</v>
      </c>
      <c r="K38" s="43">
        <f t="shared" si="2"/>
        <v>0</v>
      </c>
      <c r="L38" s="43">
        <f t="shared" si="3"/>
        <v>25540137.325307637</v>
      </c>
      <c r="M38" s="43">
        <f>IF(L38&lt;0,-L38,0)</f>
        <v>0</v>
      </c>
      <c r="N38" s="43">
        <f>IF(L38&gt;0,L38,0)</f>
        <v>25540137.325307637</v>
      </c>
      <c r="O38" s="43">
        <f t="shared" si="1"/>
        <v>-13556170.95165267</v>
      </c>
      <c r="P38" s="43">
        <f t="shared" si="5"/>
        <v>11983966.373654967</v>
      </c>
      <c r="Q38" s="86"/>
    </row>
    <row r="39" spans="2:17" x14ac:dyDescent="0.2">
      <c r="B39" s="42" t="s">
        <v>47</v>
      </c>
      <c r="C39" s="43">
        <f>SUMIF('Entrada 7TRAN'!$E$8:$E$43,'Reliquidación 7TRAN'!$B39,'Entrada 7TRAN'!F$8:F$43)</f>
        <v>6283946.3530000001</v>
      </c>
      <c r="D39" s="43">
        <f>SUMIF('Entrada 7TRAN'!$E$8:$E$43,'Reliquidación 7TRAN'!$B39,'Entrada 7TRAN'!G$8:G$43)</f>
        <v>27286382.329</v>
      </c>
      <c r="E39" s="43">
        <f>SUMIF('Entrada 7TRAN'!$E$8:$E$43,'Reliquidación 7TRAN'!$B39,'Entrada 7TRAN'!H$8:H$43)</f>
        <v>12570.960999999999</v>
      </c>
      <c r="F39" s="43">
        <f>SUMIF('Entrada 7TRAN'!$E$8:$E$43,'Reliquidación 7TRAN'!$B39,'Entrada 7TRAN'!I$8:I$43)</f>
        <v>20482.008000000002</v>
      </c>
      <c r="G39" s="43">
        <f>SUMIF('Entrada 7TRAN'!$E$8:$E$43,'Reliquidación 7TRAN'!$B39,'Entrada 7TRAN'!J$8:J$43)</f>
        <v>21813574.813678492</v>
      </c>
      <c r="H39" s="43">
        <v>13965049.611347824</v>
      </c>
      <c r="I39" s="43">
        <f t="shared" si="0"/>
        <v>14035422.201774551</v>
      </c>
      <c r="J39" s="43">
        <v>0</v>
      </c>
      <c r="K39" s="43">
        <f t="shared" si="2"/>
        <v>0</v>
      </c>
      <c r="L39" s="43">
        <f t="shared" si="3"/>
        <v>35848997.015453041</v>
      </c>
      <c r="M39" s="43">
        <f t="shared" si="4"/>
        <v>0</v>
      </c>
      <c r="N39" s="43">
        <f t="shared" si="6"/>
        <v>35848997.015453041</v>
      </c>
      <c r="O39" s="43">
        <f t="shared" si="1"/>
        <v>-19027898.158762701</v>
      </c>
      <c r="P39" s="43">
        <f t="shared" si="5"/>
        <v>16821098.85669034</v>
      </c>
      <c r="Q39" s="86"/>
    </row>
    <row r="40" spans="2:17" x14ac:dyDescent="0.2">
      <c r="B40" s="42" t="s">
        <v>48</v>
      </c>
      <c r="C40" s="43">
        <f>SUMIF('Entrada 7TRAN'!$E$8:$E$43,'Reliquidación 7TRAN'!$B40,'Entrada 7TRAN'!F$8:F$43)</f>
        <v>14651117.562000001</v>
      </c>
      <c r="D40" s="43">
        <f>SUMIF('Entrada 7TRAN'!$E$8:$E$43,'Reliquidación 7TRAN'!$B40,'Entrada 7TRAN'!G$8:G$43)</f>
        <v>47142862.340291329</v>
      </c>
      <c r="E40" s="43">
        <f>SUMIF('Entrada 7TRAN'!$E$8:$E$43,'Reliquidación 7TRAN'!$B40,'Entrada 7TRAN'!H$8:H$43)</f>
        <v>45278.1</v>
      </c>
      <c r="F40" s="43">
        <f>SUMIF('Entrada 7TRAN'!$E$8:$E$43,'Reliquidación 7TRAN'!$B40,'Entrada 7TRAN'!I$8:I$43)</f>
        <v>62467.421000000002</v>
      </c>
      <c r="G40" s="43">
        <f>SUMIF('Entrada 7TRAN'!$E$8:$E$43,'Reliquidación 7TRAN'!$B40,'Entrada 7TRAN'!J$8:J$43)</f>
        <v>-120300905.26644351</v>
      </c>
      <c r="H40" s="43">
        <v>0</v>
      </c>
      <c r="I40" s="43">
        <f t="shared" si="0"/>
        <v>0</v>
      </c>
      <c r="J40" s="43">
        <v>0</v>
      </c>
      <c r="K40" s="43">
        <f t="shared" si="2"/>
        <v>0</v>
      </c>
      <c r="L40" s="43">
        <f t="shared" si="3"/>
        <v>-120300905.26644351</v>
      </c>
      <c r="M40" s="43">
        <f t="shared" si="4"/>
        <v>120300905.26644351</v>
      </c>
      <c r="N40" s="43">
        <f t="shared" si="6"/>
        <v>0</v>
      </c>
      <c r="O40" s="43">
        <f t="shared" si="1"/>
        <v>120300905.26644351</v>
      </c>
      <c r="P40" s="43">
        <f t="shared" si="5"/>
        <v>0</v>
      </c>
      <c r="Q40" s="86"/>
    </row>
    <row r="41" spans="2:17" x14ac:dyDescent="0.2">
      <c r="B41" s="42" t="s">
        <v>49</v>
      </c>
      <c r="C41" s="43">
        <f>SUMIF('Entrada 7TRAN'!$E$8:$E$43,'Reliquidación 7TRAN'!$B41,'Entrada 7TRAN'!F$8:F$43)</f>
        <v>0</v>
      </c>
      <c r="D41" s="43">
        <f>SUMIF('Entrada 7TRAN'!$E$8:$E$43,'Reliquidación 7TRAN'!$B41,'Entrada 7TRAN'!G$8:G$43)</f>
        <v>0</v>
      </c>
      <c r="E41" s="43">
        <f>SUMIF('Entrada 7TRAN'!$E$8:$E$43,'Reliquidación 7TRAN'!$B41,'Entrada 7TRAN'!H$8:H$43)</f>
        <v>0</v>
      </c>
      <c r="F41" s="43">
        <f>SUMIF('Entrada 7TRAN'!$E$8:$E$43,'Reliquidación 7TRAN'!$B41,'Entrada 7TRAN'!I$8:I$43)</f>
        <v>0</v>
      </c>
      <c r="G41" s="43">
        <f>SUMIF('Entrada 7TRAN'!$E$8:$E$43,'Reliquidación 7TRAN'!$B41,'Entrada 7TRAN'!J$8:J$43)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2"/>
        <v>0</v>
      </c>
      <c r="L41" s="43">
        <f t="shared" si="3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  <c r="Q41" s="86"/>
    </row>
    <row r="42" spans="2:17" x14ac:dyDescent="0.2">
      <c r="B42" s="42" t="s">
        <v>50</v>
      </c>
      <c r="C42" s="43">
        <f>SUMIF('Entrada 7TRAN'!$E$8:$E$43,'Reliquidación 7TRAN'!$B42,'Entrada 7TRAN'!F$8:F$43)</f>
        <v>0</v>
      </c>
      <c r="D42" s="43">
        <f>SUMIF('Entrada 7TRAN'!$E$8:$E$43,'Reliquidación 7TRAN'!$B42,'Entrada 7TRAN'!G$8:G$43)</f>
        <v>11968</v>
      </c>
      <c r="E42" s="43">
        <f>SUMIF('Entrada 7TRAN'!$E$8:$E$43,'Reliquidación 7TRAN'!$B42,'Entrada 7TRAN'!H$8:H$43)</f>
        <v>0</v>
      </c>
      <c r="F42" s="43">
        <f>SUMIF('Entrada 7TRAN'!$E$8:$E$43,'Reliquidación 7TRAN'!$B42,'Entrada 7TRAN'!I$8:I$43)</f>
        <v>0</v>
      </c>
      <c r="G42" s="43">
        <f>SUMIF('Entrada 7TRAN'!$E$8:$E$43,'Reliquidación 7TRAN'!$B42,'Entrada 7TRAN'!J$8:J$43)</f>
        <v>12646.155589759999</v>
      </c>
      <c r="H42" s="43">
        <v>5239.8445003807547</v>
      </c>
      <c r="I42" s="43">
        <f t="shared" si="0"/>
        <v>5266.2490919280272</v>
      </c>
      <c r="J42" s="43">
        <v>5036.2143426314396</v>
      </c>
      <c r="K42" s="43">
        <f t="shared" si="2"/>
        <v>5061.5928023647457</v>
      </c>
      <c r="L42" s="43">
        <f t="shared" si="3"/>
        <v>22973.997484052772</v>
      </c>
      <c r="M42" s="43">
        <f>IF(L42&lt;0,-L42,0)</f>
        <v>0</v>
      </c>
      <c r="N42" s="43">
        <f>IF(L42&gt;0,L42,0)</f>
        <v>22973.997484052772</v>
      </c>
      <c r="O42" s="43">
        <f t="shared" si="1"/>
        <v>-12194.11757148437</v>
      </c>
      <c r="P42" s="43">
        <f>L42+O42</f>
        <v>10779.879912568402</v>
      </c>
      <c r="Q42" s="86"/>
    </row>
    <row r="43" spans="2:17" x14ac:dyDescent="0.2">
      <c r="B43" s="44" t="s">
        <v>51</v>
      </c>
      <c r="C43" s="45">
        <f>SUMIF('Entrada 7TRAN'!$E$8:$E$43,'Reliquidación 7TRAN'!$B43,'Entrada 7TRAN'!F$8:F$43)</f>
        <v>32785.800000000003</v>
      </c>
      <c r="D43" s="45">
        <f>SUMIF('Entrada 7TRAN'!$E$8:$E$43,'Reliquidación 7TRAN'!$B43,'Entrada 7TRAN'!G$8:G$43)</f>
        <v>63849.4</v>
      </c>
      <c r="E43" s="45">
        <f>SUMIF('Entrada 7TRAN'!$E$8:$E$43,'Reliquidación 7TRAN'!$B43,'Entrada 7TRAN'!H$8:H$43)</f>
        <v>0</v>
      </c>
      <c r="F43" s="45">
        <f>SUMIF('Entrada 7TRAN'!$E$8:$E$43,'Reliquidación 7TRAN'!$B43,'Entrada 7TRAN'!I$8:I$43)</f>
        <v>0</v>
      </c>
      <c r="G43" s="45">
        <f>SUMIF('Entrada 7TRAN'!$E$8:$E$43,'Reliquidación 7TRAN'!$B43,'Entrada 7TRAN'!J$8:J$43)</f>
        <v>-2555848.662296616</v>
      </c>
      <c r="H43" s="45">
        <v>0</v>
      </c>
      <c r="I43" s="45">
        <f t="shared" si="0"/>
        <v>0</v>
      </c>
      <c r="J43" s="45">
        <v>0</v>
      </c>
      <c r="K43" s="45">
        <f t="shared" si="2"/>
        <v>0</v>
      </c>
      <c r="L43" s="45">
        <f t="shared" si="3"/>
        <v>-2555848.662296616</v>
      </c>
      <c r="M43" s="45">
        <f t="shared" si="4"/>
        <v>2555848.662296616</v>
      </c>
      <c r="N43" s="45">
        <f t="shared" si="6"/>
        <v>0</v>
      </c>
      <c r="O43" s="45">
        <f>IF(OR($M$44=0,$N$44=0),0,((M43/$M$44-N43/$N$44)*$N$49))</f>
        <v>2555848.662296616</v>
      </c>
      <c r="P43" s="45">
        <f t="shared" si="5"/>
        <v>0</v>
      </c>
      <c r="Q43" s="86"/>
    </row>
    <row r="44" spans="2:17" x14ac:dyDescent="0.2">
      <c r="B44" s="46" t="s">
        <v>66</v>
      </c>
      <c r="C44" s="16">
        <f t="shared" ref="C44:O44" si="7">SUM(C9:C43)</f>
        <v>558796905.73070002</v>
      </c>
      <c r="D44" s="16">
        <f t="shared" si="7"/>
        <v>1537318590.6478362</v>
      </c>
      <c r="E44" s="16">
        <f t="shared" si="7"/>
        <v>11776268.979</v>
      </c>
      <c r="F44" s="16">
        <f t="shared" si="7"/>
        <v>5585086.0030000014</v>
      </c>
      <c r="G44" s="16">
        <f t="shared" si="7"/>
        <v>63706265.676019035</v>
      </c>
      <c r="H44" s="16">
        <f>SUM(H9:H43)</f>
        <v>544956166.27477574</v>
      </c>
      <c r="I44" s="16">
        <f>SUM(I9:I43)</f>
        <v>547702305.97044945</v>
      </c>
      <c r="J44" s="16">
        <f t="shared" ref="J44:K44" si="8">SUM(J9:J43)</f>
        <v>5036.2143426314396</v>
      </c>
      <c r="K44" s="16">
        <f t="shared" si="8"/>
        <v>5061.5928023647457</v>
      </c>
      <c r="L44" s="16">
        <f>SUM(L9:L43)</f>
        <v>611413633.23927069</v>
      </c>
      <c r="M44" s="16">
        <f t="shared" si="7"/>
        <v>691626417.82636642</v>
      </c>
      <c r="N44" s="16">
        <f t="shared" si="7"/>
        <v>1303040051.0656369</v>
      </c>
      <c r="O44" s="16">
        <f t="shared" si="7"/>
        <v>-2.1187588572502136E-7</v>
      </c>
      <c r="P44" s="16">
        <f>SUM(P9:P43)</f>
        <v>611413633.23927057</v>
      </c>
    </row>
    <row r="45" spans="2:17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58"/>
      <c r="I47" s="17"/>
      <c r="J47" s="17"/>
      <c r="K47" s="17"/>
      <c r="L47" s="17"/>
      <c r="M47" s="7" t="s">
        <v>91</v>
      </c>
      <c r="N47" s="53">
        <f>N44</f>
        <v>1303040051.0656369</v>
      </c>
      <c r="O47"/>
    </row>
    <row r="48" spans="2:17" x14ac:dyDescent="0.2">
      <c r="B48"/>
      <c r="C48"/>
      <c r="H48" s="52"/>
      <c r="I48" s="17"/>
      <c r="J48" s="17"/>
      <c r="K48" s="17"/>
      <c r="L48" s="17"/>
      <c r="M48" s="7" t="s">
        <v>92</v>
      </c>
      <c r="N48" s="53">
        <f>M44</f>
        <v>691626417.82636642</v>
      </c>
      <c r="O48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691626417.82636642</v>
      </c>
      <c r="O49"/>
      <c r="P49" s="54"/>
    </row>
    <row r="50" spans="2:16" x14ac:dyDescent="0.2">
      <c r="M50" s="17"/>
      <c r="N50"/>
    </row>
    <row r="51" spans="2:16" x14ac:dyDescent="0.2">
      <c r="G51" s="54"/>
      <c r="H51" s="54"/>
    </row>
    <row r="52" spans="2:16" x14ac:dyDescent="0.2">
      <c r="H52" s="11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E626-AF75-4DCE-812C-A8F204EDF39B}">
  <sheetPr codeName="Hoja3">
    <tabColor theme="7" tint="0.79998168889431442"/>
  </sheetPr>
  <dimension ref="A2:O91"/>
  <sheetViews>
    <sheetView zoomScale="70" zoomScaleNormal="70" workbookViewId="0"/>
  </sheetViews>
  <sheetFormatPr baseColWidth="10" defaultColWidth="11.42578125" defaultRowHeight="12.75" x14ac:dyDescent="0.2"/>
  <cols>
    <col min="1" max="1" width="9.140625" style="87" customWidth="1"/>
    <col min="2" max="2" width="23.85546875" style="87" customWidth="1"/>
    <col min="3" max="3" width="17" style="87" customWidth="1"/>
    <col min="4" max="4" width="16.140625" style="87" customWidth="1"/>
    <col min="5" max="5" width="20.28515625" style="87" customWidth="1"/>
    <col min="6" max="6" width="20.140625" style="87" customWidth="1"/>
    <col min="7" max="7" width="15.7109375" style="87" customWidth="1"/>
    <col min="8" max="8" width="9.85546875" style="87" customWidth="1"/>
    <col min="9" max="9" width="13.5703125" style="87" customWidth="1"/>
    <col min="10" max="10" width="13.7109375" style="87" customWidth="1"/>
    <col min="11" max="11" width="14" style="87" bestFit="1" customWidth="1"/>
    <col min="12" max="12" width="14.7109375" style="87" customWidth="1"/>
    <col min="13" max="16" width="10.85546875" style="87" customWidth="1"/>
    <col min="17" max="17" width="13.28515625" style="87" bestFit="1" customWidth="1"/>
    <col min="18" max="18" width="15.85546875" style="87" bestFit="1" customWidth="1"/>
    <col min="19" max="19" width="17" style="87" bestFit="1" customWidth="1"/>
    <col min="20" max="20" width="17.85546875" style="87" customWidth="1"/>
    <col min="21" max="16384" width="11.42578125" style="87"/>
  </cols>
  <sheetData>
    <row r="2" spans="1:10" x14ac:dyDescent="0.2">
      <c r="B2" s="88" t="s">
        <v>96</v>
      </c>
      <c r="C2" s="88"/>
      <c r="D2" s="88"/>
      <c r="E2" s="88"/>
      <c r="F2" s="88"/>
      <c r="G2" s="88"/>
      <c r="H2" s="88"/>
      <c r="J2" s="50" t="s">
        <v>94</v>
      </c>
    </row>
    <row r="3" spans="1:10" x14ac:dyDescent="0.2">
      <c r="B3" s="89">
        <f>FechaFacturacion</f>
        <v>45717</v>
      </c>
      <c r="C3" s="90"/>
      <c r="D3" s="90"/>
      <c r="E3" s="90"/>
      <c r="F3" s="90"/>
      <c r="G3" s="90"/>
      <c r="H3" s="90"/>
    </row>
    <row r="6" spans="1:10" ht="12.75" customHeight="1" x14ac:dyDescent="0.2">
      <c r="B6" s="91" t="s">
        <v>6</v>
      </c>
      <c r="C6" s="92" t="s">
        <v>78</v>
      </c>
      <c r="E6" s="91" t="s">
        <v>6</v>
      </c>
      <c r="F6" s="29" t="s">
        <v>79</v>
      </c>
      <c r="G6" s="92" t="s">
        <v>80</v>
      </c>
      <c r="I6" s="91" t="s">
        <v>81</v>
      </c>
      <c r="J6" s="93" cm="1">
        <f t="array" ref="J6">SUMPRODUCT(($G$8:$G$32&gt;0)*($G$8:$G$32))</f>
        <v>643405879.75717175</v>
      </c>
    </row>
    <row r="7" spans="1:10" ht="27" customHeight="1" x14ac:dyDescent="0.2">
      <c r="B7" s="91"/>
      <c r="C7" s="95"/>
      <c r="E7" s="91"/>
      <c r="F7" s="34"/>
      <c r="G7" s="95"/>
      <c r="I7" s="91"/>
      <c r="J7" s="93"/>
    </row>
    <row r="8" spans="1:10" x14ac:dyDescent="0.2">
      <c r="B8" s="96" t="s">
        <v>14</v>
      </c>
      <c r="C8" s="97">
        <f>'Reliquidación 7TRAN'!O9</f>
        <v>-5546600.6064427448</v>
      </c>
      <c r="D8" s="98"/>
      <c r="E8" s="96" t="s">
        <v>14</v>
      </c>
      <c r="F8" s="99">
        <v>0</v>
      </c>
      <c r="G8" s="99">
        <f>VLOOKUP(E8,$B$8:$C$42,2,0)+F8</f>
        <v>-5546600.6064427448</v>
      </c>
      <c r="H8" s="100"/>
      <c r="J8" s="50"/>
    </row>
    <row r="9" spans="1:10" x14ac:dyDescent="0.2">
      <c r="B9" s="101" t="s">
        <v>15</v>
      </c>
      <c r="C9" s="99">
        <f>'Reliquidación 7TRAN'!O10</f>
        <v>-3282621.2366426052</v>
      </c>
      <c r="D9" s="98"/>
      <c r="E9" s="101" t="s">
        <v>15</v>
      </c>
      <c r="F9" s="99">
        <v>0</v>
      </c>
      <c r="G9" s="99">
        <f>VLOOKUP(E9,$B$8:$C$42,2,0)+F9</f>
        <v>-3282621.2366426052</v>
      </c>
      <c r="H9" s="100"/>
      <c r="J9" s="50"/>
    </row>
    <row r="10" spans="1:10" x14ac:dyDescent="0.2">
      <c r="B10" s="101" t="s">
        <v>16</v>
      </c>
      <c r="C10" s="99">
        <f>'Reliquidación 7TRAN'!O11</f>
        <v>-5966306.3388668867</v>
      </c>
      <c r="D10" s="98"/>
      <c r="E10" s="101" t="s">
        <v>16</v>
      </c>
      <c r="F10" s="99">
        <v>0</v>
      </c>
      <c r="G10" s="99">
        <f>VLOOKUP(E10,$B$8:$C$42,2,0)+F10</f>
        <v>-5966306.3388668867</v>
      </c>
      <c r="H10" s="100"/>
      <c r="J10" s="50"/>
    </row>
    <row r="11" spans="1:10" x14ac:dyDescent="0.2">
      <c r="B11" s="101" t="s">
        <v>17</v>
      </c>
      <c r="C11" s="99">
        <f>'Reliquidación 7TRAN'!O12</f>
        <v>-1352405.6489534054</v>
      </c>
      <c r="D11" s="98"/>
      <c r="E11" s="101" t="s">
        <v>17</v>
      </c>
      <c r="F11" s="99">
        <v>0</v>
      </c>
      <c r="G11" s="99">
        <f>VLOOKUP(E11,$B$8:$C$42,2,0)+F11</f>
        <v>-1352405.6489534054</v>
      </c>
      <c r="H11" s="100"/>
      <c r="I11" s="50"/>
      <c r="J11" s="50"/>
    </row>
    <row r="12" spans="1:10" x14ac:dyDescent="0.2">
      <c r="B12" s="101" t="s">
        <v>18</v>
      </c>
      <c r="C12" s="99">
        <f>'Reliquidación 7TRAN'!O13</f>
        <v>353384893.40095443</v>
      </c>
      <c r="D12" s="98"/>
      <c r="E12" s="101" t="s">
        <v>82</v>
      </c>
      <c r="F12" s="99">
        <v>0</v>
      </c>
      <c r="G12" s="99">
        <f>C12+C13+C14+C15+C16+C18+C19+C20+C37+C38+C39+F12</f>
        <v>518716079.61726326</v>
      </c>
      <c r="H12" s="100"/>
      <c r="I12" s="50"/>
      <c r="J12" s="50"/>
    </row>
    <row r="13" spans="1:10" x14ac:dyDescent="0.2">
      <c r="B13" s="101" t="s">
        <v>20</v>
      </c>
      <c r="C13" s="99">
        <f>'Reliquidación 7TRAN'!O14</f>
        <v>-536770.10020962858</v>
      </c>
      <c r="D13" s="98"/>
      <c r="E13" s="101" t="s">
        <v>83</v>
      </c>
      <c r="F13" s="99">
        <v>0</v>
      </c>
      <c r="G13" s="99">
        <f>C17+F13</f>
        <v>-427721949.69649613</v>
      </c>
      <c r="H13" s="100"/>
      <c r="I13" s="50"/>
      <c r="J13" s="50"/>
    </row>
    <row r="14" spans="1:10" x14ac:dyDescent="0.2">
      <c r="B14" s="101" t="s">
        <v>21</v>
      </c>
      <c r="C14" s="99">
        <f>'Reliquidación 7TRAN'!O15</f>
        <v>14598162.03863425</v>
      </c>
      <c r="D14" s="98"/>
      <c r="E14" s="101" t="s">
        <v>29</v>
      </c>
      <c r="F14" s="99">
        <v>0</v>
      </c>
      <c r="G14" s="99">
        <f>VLOOKUP(E14,$B$8:$C$42,2,0)+F14</f>
        <v>-5590103.3816167871</v>
      </c>
      <c r="H14" s="100"/>
      <c r="I14" s="50"/>
      <c r="J14" s="50"/>
    </row>
    <row r="15" spans="1:10" x14ac:dyDescent="0.2">
      <c r="B15" s="101" t="s">
        <v>22</v>
      </c>
      <c r="C15" s="99">
        <f>'Reliquidación 7TRAN'!O16</f>
        <v>0</v>
      </c>
      <c r="D15" s="98"/>
      <c r="E15" s="101" t="s">
        <v>30</v>
      </c>
      <c r="F15" s="99">
        <v>0</v>
      </c>
      <c r="G15" s="99">
        <f t="shared" ref="G15:G32" si="0">VLOOKUP(E15,$B$8:$C$42,2,0)+F15</f>
        <v>-14295102.53554545</v>
      </c>
      <c r="H15" s="100"/>
      <c r="I15" s="50"/>
      <c r="J15" s="50"/>
    </row>
    <row r="16" spans="1:10" x14ac:dyDescent="0.2">
      <c r="A16" s="50"/>
      <c r="B16" s="101" t="s">
        <v>23</v>
      </c>
      <c r="C16" s="99">
        <f>'Reliquidación 7TRAN'!O17</f>
        <v>0</v>
      </c>
      <c r="D16" s="98"/>
      <c r="E16" s="101" t="s">
        <v>31</v>
      </c>
      <c r="F16" s="99">
        <v>0</v>
      </c>
      <c r="G16" s="99">
        <f t="shared" si="0"/>
        <v>-8646733.104069801</v>
      </c>
      <c r="H16" s="100"/>
      <c r="I16" s="50"/>
      <c r="J16" s="50"/>
    </row>
    <row r="17" spans="1:10" x14ac:dyDescent="0.2">
      <c r="B17" s="101" t="s">
        <v>24</v>
      </c>
      <c r="C17" s="99">
        <f>'Reliquidación 7TRAN'!O18</f>
        <v>-427721949.69649613</v>
      </c>
      <c r="D17" s="98"/>
      <c r="E17" s="101" t="s">
        <v>32</v>
      </c>
      <c r="F17" s="99">
        <v>0</v>
      </c>
      <c r="G17" s="99">
        <f t="shared" si="0"/>
        <v>-2632129.0670675826</v>
      </c>
      <c r="H17" s="100"/>
      <c r="I17" s="50"/>
      <c r="J17" s="50"/>
    </row>
    <row r="18" spans="1:10" x14ac:dyDescent="0.2">
      <c r="B18" s="101" t="s">
        <v>26</v>
      </c>
      <c r="C18" s="99">
        <f>'Reliquidación 7TRAN'!O19</f>
        <v>78652656.980425775</v>
      </c>
      <c r="D18" s="98"/>
      <c r="E18" s="101" t="s">
        <v>33</v>
      </c>
      <c r="F18" s="99">
        <v>0</v>
      </c>
      <c r="G18" s="99">
        <f t="shared" si="0"/>
        <v>-2337603.9285574369</v>
      </c>
      <c r="H18" s="100"/>
      <c r="I18" s="50"/>
      <c r="J18" s="50"/>
    </row>
    <row r="19" spans="1:10" x14ac:dyDescent="0.2">
      <c r="B19" s="101" t="s">
        <v>27</v>
      </c>
      <c r="C19" s="99">
        <f>'Reliquidación 7TRAN'!O20</f>
        <v>-15099698.85856968</v>
      </c>
      <c r="D19" s="98"/>
      <c r="E19" s="101" t="s">
        <v>34</v>
      </c>
      <c r="F19" s="99">
        <v>0</v>
      </c>
      <c r="G19" s="99">
        <f t="shared" si="0"/>
        <v>-6335186.6155303735</v>
      </c>
      <c r="H19" s="100"/>
      <c r="I19" s="50"/>
      <c r="J19" s="50"/>
    </row>
    <row r="20" spans="1:10" x14ac:dyDescent="0.2">
      <c r="B20" s="101" t="s">
        <v>28</v>
      </c>
      <c r="C20" s="99">
        <f>'Reliquidación 7TRAN'!O21</f>
        <v>0</v>
      </c>
      <c r="D20" s="98"/>
      <c r="E20" s="101" t="s">
        <v>35</v>
      </c>
      <c r="F20" s="99">
        <v>0</v>
      </c>
      <c r="G20" s="99">
        <f t="shared" si="0"/>
        <v>-40306446.672740653</v>
      </c>
      <c r="H20" s="100"/>
      <c r="I20" s="50"/>
      <c r="J20" s="50"/>
    </row>
    <row r="21" spans="1:10" x14ac:dyDescent="0.2">
      <c r="B21" s="101" t="s">
        <v>29</v>
      </c>
      <c r="C21" s="99">
        <f>'Reliquidación 7TRAN'!O22</f>
        <v>-5590103.3816167871</v>
      </c>
      <c r="D21" s="98"/>
      <c r="E21" s="101" t="s">
        <v>36</v>
      </c>
      <c r="F21" s="99">
        <v>0</v>
      </c>
      <c r="G21" s="99">
        <f t="shared" si="0"/>
        <v>-9856270.1481443904</v>
      </c>
      <c r="H21" s="100"/>
      <c r="I21" s="50"/>
      <c r="J21" s="50"/>
    </row>
    <row r="22" spans="1:10" x14ac:dyDescent="0.2">
      <c r="B22" s="101" t="s">
        <v>30</v>
      </c>
      <c r="C22" s="99">
        <f>'Reliquidación 7TRAN'!O23</f>
        <v>-14295102.53554545</v>
      </c>
      <c r="D22" s="98"/>
      <c r="E22" s="101" t="s">
        <v>37</v>
      </c>
      <c r="F22" s="99">
        <v>0</v>
      </c>
      <c r="G22" s="99">
        <f t="shared" si="0"/>
        <v>-80105612.510539979</v>
      </c>
      <c r="H22" s="100"/>
      <c r="I22" s="50"/>
      <c r="J22" s="50"/>
    </row>
    <row r="23" spans="1:10" x14ac:dyDescent="0.2">
      <c r="B23" s="101" t="s">
        <v>31</v>
      </c>
      <c r="C23" s="99">
        <f>'Reliquidación 7TRAN'!O24</f>
        <v>-8646733.104069801</v>
      </c>
      <c r="D23" s="98"/>
      <c r="E23" s="101" t="s">
        <v>38</v>
      </c>
      <c r="F23" s="99">
        <v>0</v>
      </c>
      <c r="G23" s="99">
        <f t="shared" si="0"/>
        <v>-2803858.5052389149</v>
      </c>
      <c r="H23" s="100"/>
      <c r="I23" s="50"/>
      <c r="J23" s="50"/>
    </row>
    <row r="24" spans="1:10" x14ac:dyDescent="0.2">
      <c r="B24" s="101" t="s">
        <v>32</v>
      </c>
      <c r="C24" s="99">
        <f>'Reliquidación 7TRAN'!O25</f>
        <v>-2632129.0670675826</v>
      </c>
      <c r="D24" s="98"/>
      <c r="E24" s="101" t="s">
        <v>39</v>
      </c>
      <c r="F24" s="99">
        <v>0</v>
      </c>
      <c r="G24" s="99">
        <f t="shared" si="0"/>
        <v>122133951.4776118</v>
      </c>
      <c r="H24" s="100"/>
      <c r="I24" s="50"/>
      <c r="J24" s="50"/>
    </row>
    <row r="25" spans="1:10" x14ac:dyDescent="0.2">
      <c r="B25" s="101" t="s">
        <v>33</v>
      </c>
      <c r="C25" s="99">
        <f>'Reliquidación 7TRAN'!O26</f>
        <v>-2337603.9285574369</v>
      </c>
      <c r="D25" s="98"/>
      <c r="E25" s="101" t="s">
        <v>40</v>
      </c>
      <c r="F25" s="99">
        <v>0</v>
      </c>
      <c r="G25" s="99">
        <f t="shared" si="0"/>
        <v>-2926492.3588286536</v>
      </c>
      <c r="H25" s="100"/>
      <c r="I25" s="50"/>
      <c r="J25" s="50"/>
    </row>
    <row r="26" spans="1:10" x14ac:dyDescent="0.2">
      <c r="B26" s="101" t="s">
        <v>34</v>
      </c>
      <c r="C26" s="99">
        <f>'Reliquidación 7TRAN'!O27</f>
        <v>-6335186.6155303735</v>
      </c>
      <c r="D26" s="98"/>
      <c r="E26" s="101" t="s">
        <v>41</v>
      </c>
      <c r="F26" s="99">
        <v>0</v>
      </c>
      <c r="G26" s="99">
        <f t="shared" si="0"/>
        <v>-7333432.3029691949</v>
      </c>
      <c r="H26" s="100"/>
      <c r="I26" s="50"/>
      <c r="J26" s="50"/>
    </row>
    <row r="27" spans="1:10" x14ac:dyDescent="0.2">
      <c r="B27" s="101" t="s">
        <v>35</v>
      </c>
      <c r="C27" s="99">
        <f>'Reliquidación 7TRAN'!O28</f>
        <v>-40306446.672740653</v>
      </c>
      <c r="D27" s="98"/>
      <c r="E27" s="101" t="s">
        <v>42</v>
      </c>
      <c r="F27" s="99">
        <v>0</v>
      </c>
      <c r="G27" s="99">
        <f t="shared" si="0"/>
        <v>-6800019.4479423398</v>
      </c>
      <c r="H27" s="100"/>
      <c r="I27" s="50"/>
      <c r="J27" s="50"/>
    </row>
    <row r="28" spans="1:10" x14ac:dyDescent="0.2">
      <c r="B28" s="101" t="s">
        <v>36</v>
      </c>
      <c r="C28" s="99">
        <f>'Reliquidación 7TRAN'!O29</f>
        <v>-9856270.1481443904</v>
      </c>
      <c r="D28" s="98"/>
      <c r="E28" s="101" t="s">
        <v>43</v>
      </c>
      <c r="F28" s="99">
        <v>0</v>
      </c>
      <c r="G28" s="99">
        <f t="shared" si="0"/>
        <v>-8682085.8647429757</v>
      </c>
      <c r="H28" s="100"/>
      <c r="I28" s="50"/>
      <c r="J28" s="50"/>
    </row>
    <row r="29" spans="1:10" x14ac:dyDescent="0.2">
      <c r="A29" s="50"/>
      <c r="B29" s="101" t="s">
        <v>37</v>
      </c>
      <c r="C29" s="99">
        <f>'Reliquidación 7TRAN'!O30</f>
        <v>-80105612.510539979</v>
      </c>
      <c r="D29" s="98"/>
      <c r="E29" s="101" t="s">
        <v>45</v>
      </c>
      <c r="F29" s="99">
        <v>0</v>
      </c>
      <c r="G29" s="99">
        <f t="shared" si="0"/>
        <v>-872725.6686640702</v>
      </c>
      <c r="H29" s="100"/>
      <c r="I29" s="50"/>
      <c r="J29" s="50"/>
    </row>
    <row r="30" spans="1:10" x14ac:dyDescent="0.2">
      <c r="B30" s="101" t="s">
        <v>38</v>
      </c>
      <c r="C30" s="99">
        <f>'Reliquidación 7TRAN'!O31</f>
        <v>-2803858.5052389149</v>
      </c>
      <c r="D30" s="98"/>
      <c r="E30" s="101" t="s">
        <v>49</v>
      </c>
      <c r="F30" s="99">
        <v>0</v>
      </c>
      <c r="G30" s="99">
        <f t="shared" si="0"/>
        <v>0</v>
      </c>
      <c r="H30" s="100"/>
      <c r="I30" s="50"/>
      <c r="J30" s="50"/>
    </row>
    <row r="31" spans="1:10" x14ac:dyDescent="0.2">
      <c r="A31" s="50"/>
      <c r="B31" s="101" t="s">
        <v>39</v>
      </c>
      <c r="C31" s="99">
        <f>'Reliquidación 7TRAN'!O32</f>
        <v>122133951.4776118</v>
      </c>
      <c r="D31" s="98"/>
      <c r="E31" s="42" t="s">
        <v>50</v>
      </c>
      <c r="F31" s="99">
        <v>0</v>
      </c>
      <c r="G31" s="99">
        <f t="shared" si="0"/>
        <v>-12194.11757148437</v>
      </c>
      <c r="H31" s="100"/>
      <c r="I31" s="50"/>
      <c r="J31" s="50"/>
    </row>
    <row r="32" spans="1:10" x14ac:dyDescent="0.2">
      <c r="A32" s="50"/>
      <c r="B32" s="101" t="s">
        <v>40</v>
      </c>
      <c r="C32" s="99">
        <f>'Reliquidación 7TRAN'!O33</f>
        <v>-2926492.3588286536</v>
      </c>
      <c r="D32" s="98"/>
      <c r="E32" s="102" t="s">
        <v>51</v>
      </c>
      <c r="F32" s="99">
        <v>0</v>
      </c>
      <c r="G32" s="99">
        <f t="shared" si="0"/>
        <v>2555848.662296616</v>
      </c>
      <c r="H32" s="98"/>
      <c r="I32" s="50"/>
      <c r="J32" s="50"/>
    </row>
    <row r="33" spans="1:15" x14ac:dyDescent="0.2">
      <c r="A33" s="50"/>
      <c r="B33" s="101" t="s">
        <v>41</v>
      </c>
      <c r="C33" s="99">
        <f>'Reliquidación 7TRAN'!O34</f>
        <v>-7333432.3029691949</v>
      </c>
      <c r="D33" s="98"/>
      <c r="E33" s="103" t="s">
        <v>66</v>
      </c>
      <c r="F33" s="104">
        <f>SUM(F7:F32)</f>
        <v>0</v>
      </c>
      <c r="G33" s="104">
        <f>SUM(G8:G32)</f>
        <v>-1.7043203115463257E-7</v>
      </c>
      <c r="H33" s="105"/>
      <c r="I33" s="50"/>
      <c r="J33" s="50"/>
    </row>
    <row r="34" spans="1:15" x14ac:dyDescent="0.2">
      <c r="B34" s="101" t="s">
        <v>42</v>
      </c>
      <c r="C34" s="99">
        <f>'Reliquidación 7TRAN'!O35</f>
        <v>-6800019.4479423398</v>
      </c>
      <c r="D34" s="98"/>
      <c r="E34" s="98"/>
      <c r="F34" s="106"/>
      <c r="G34" s="107"/>
      <c r="H34" s="105"/>
      <c r="I34" s="50"/>
      <c r="J34" s="50"/>
    </row>
    <row r="35" spans="1:15" x14ac:dyDescent="0.2">
      <c r="A35" s="50"/>
      <c r="B35" s="101" t="s">
        <v>43</v>
      </c>
      <c r="C35" s="99">
        <f>'Reliquidación 7TRAN'!O36</f>
        <v>-8682085.8647429757</v>
      </c>
      <c r="D35" s="98"/>
      <c r="E35" s="98"/>
      <c r="F35" s="67"/>
      <c r="G35" s="107"/>
      <c r="H35" s="105"/>
      <c r="I35" s="50"/>
      <c r="J35" s="50"/>
    </row>
    <row r="36" spans="1:15" x14ac:dyDescent="0.2">
      <c r="A36" s="50"/>
      <c r="B36" s="101" t="s">
        <v>45</v>
      </c>
      <c r="C36" s="99">
        <f>'Reliquidación 7TRAN'!O37</f>
        <v>-872725.6686640702</v>
      </c>
      <c r="D36" s="98"/>
      <c r="E36" s="98"/>
      <c r="F36" s="106"/>
      <c r="G36" s="107"/>
      <c r="H36" s="105"/>
      <c r="I36" s="50"/>
      <c r="J36" s="50"/>
    </row>
    <row r="37" spans="1:15" x14ac:dyDescent="0.2">
      <c r="B37" s="101" t="s">
        <v>46</v>
      </c>
      <c r="C37" s="99">
        <f>'Reliquidación 7TRAN'!O38</f>
        <v>-13556170.95165267</v>
      </c>
      <c r="D37" s="98"/>
      <c r="E37" s="98"/>
      <c r="F37" s="106"/>
      <c r="G37" s="107"/>
      <c r="H37" s="105"/>
      <c r="I37" s="50"/>
      <c r="J37" s="50"/>
    </row>
    <row r="38" spans="1:15" x14ac:dyDescent="0.2">
      <c r="B38" s="101" t="s">
        <v>47</v>
      </c>
      <c r="C38" s="99">
        <f>'Reliquidación 7TRAN'!O39</f>
        <v>-19027898.158762701</v>
      </c>
      <c r="D38" s="98"/>
      <c r="E38" s="98"/>
      <c r="F38" s="106"/>
      <c r="G38" s="107"/>
      <c r="H38" s="105"/>
      <c r="I38" s="50"/>
      <c r="J38" s="50"/>
    </row>
    <row r="39" spans="1:15" x14ac:dyDescent="0.2">
      <c r="B39" s="101" t="s">
        <v>48</v>
      </c>
      <c r="C39" s="99">
        <f>'Reliquidación 7TRAN'!O40</f>
        <v>120300905.26644351</v>
      </c>
      <c r="D39" s="98"/>
      <c r="E39" s="98"/>
      <c r="F39" s="106"/>
      <c r="G39" s="107"/>
      <c r="H39" s="105"/>
      <c r="I39" s="50"/>
      <c r="J39" s="50"/>
    </row>
    <row r="40" spans="1:15" x14ac:dyDescent="0.2">
      <c r="B40" s="101" t="s">
        <v>49</v>
      </c>
      <c r="C40" s="99">
        <f>'Reliquidación 7TRAN'!O41</f>
        <v>0</v>
      </c>
      <c r="D40" s="98"/>
      <c r="E40" s="98"/>
      <c r="F40" s="106"/>
      <c r="G40" s="107"/>
      <c r="H40" s="105"/>
      <c r="I40" s="50"/>
      <c r="J40" s="50"/>
    </row>
    <row r="41" spans="1:15" x14ac:dyDescent="0.2">
      <c r="B41" s="42" t="s">
        <v>50</v>
      </c>
      <c r="C41" s="99">
        <f>'Reliquidación 7TRAN'!O42</f>
        <v>-12194.11757148437</v>
      </c>
      <c r="D41" s="98"/>
      <c r="E41" s="98"/>
      <c r="F41" s="106"/>
      <c r="G41" s="107"/>
      <c r="H41" s="105"/>
      <c r="I41" s="50"/>
      <c r="J41" s="50"/>
    </row>
    <row r="42" spans="1:15" x14ac:dyDescent="0.2">
      <c r="B42" s="102" t="s">
        <v>51</v>
      </c>
      <c r="C42" s="108">
        <f>'Reliquidación 7TRAN'!O43</f>
        <v>2555848.662296616</v>
      </c>
      <c r="D42" s="98"/>
      <c r="E42" s="98"/>
      <c r="F42" s="106"/>
      <c r="G42" s="107"/>
      <c r="H42" s="105"/>
      <c r="I42" s="50"/>
      <c r="J42" s="50"/>
    </row>
    <row r="43" spans="1:15" x14ac:dyDescent="0.2">
      <c r="B43" s="103" t="s">
        <v>66</v>
      </c>
      <c r="C43" s="104">
        <f>SUM(C8:C42)</f>
        <v>-2.1187588572502136E-7</v>
      </c>
      <c r="D43" s="109"/>
      <c r="E43" s="109"/>
      <c r="F43" s="50"/>
      <c r="H43" s="105"/>
      <c r="I43" s="50"/>
      <c r="J43" s="50"/>
    </row>
    <row r="44" spans="1:15" x14ac:dyDescent="0.2">
      <c r="B44" s="106"/>
      <c r="C44" s="110"/>
      <c r="F44" s="50"/>
      <c r="H44" s="50"/>
      <c r="I44" s="50"/>
    </row>
    <row r="45" spans="1:15" x14ac:dyDescent="0.2">
      <c r="B45" s="106"/>
      <c r="C45" s="110"/>
      <c r="D45" s="110"/>
      <c r="E45" s="110"/>
      <c r="H45" s="50"/>
    </row>
    <row r="46" spans="1:15" x14ac:dyDescent="0.2">
      <c r="B46" s="50"/>
      <c r="C46" s="50"/>
      <c r="D46" s="50"/>
      <c r="E46" s="50"/>
      <c r="F46" s="107"/>
      <c r="G46" s="50"/>
      <c r="H46" s="50"/>
      <c r="I46" s="50"/>
      <c r="J46" s="50"/>
    </row>
    <row r="47" spans="1:15" x14ac:dyDescent="0.2">
      <c r="B47" s="111" t="s">
        <v>84</v>
      </c>
      <c r="C47" s="50"/>
      <c r="D47" s="50"/>
      <c r="E47" s="50"/>
      <c r="F47" s="50"/>
      <c r="G47" s="50"/>
      <c r="H47" s="50"/>
      <c r="I47" s="50"/>
      <c r="J47" s="50"/>
      <c r="L47" s="50"/>
      <c r="M47" s="50"/>
      <c r="N47" s="50"/>
      <c r="O47" s="50"/>
    </row>
    <row r="48" spans="1:15" x14ac:dyDescent="0.2">
      <c r="B48" s="50"/>
      <c r="C48" s="50"/>
      <c r="D48" s="50"/>
      <c r="E48" s="50"/>
      <c r="F48" s="107"/>
      <c r="G48" s="50"/>
      <c r="H48" s="50"/>
      <c r="I48" s="50"/>
      <c r="J48" s="50"/>
      <c r="K48" s="50"/>
    </row>
    <row r="49" spans="2:6" x14ac:dyDescent="0.2">
      <c r="B49" s="112" t="s">
        <v>85</v>
      </c>
      <c r="C49" s="113" t="s">
        <v>86</v>
      </c>
      <c r="D49" s="114"/>
      <c r="E49" s="123"/>
      <c r="F49" s="124" t="s">
        <v>52</v>
      </c>
    </row>
    <row r="50" spans="2:6" x14ac:dyDescent="0.2">
      <c r="B50" s="116"/>
      <c r="C50" s="48" t="s">
        <v>82</v>
      </c>
      <c r="D50" s="49" t="s">
        <v>39</v>
      </c>
      <c r="E50" s="125" t="s">
        <v>51</v>
      </c>
      <c r="F50" s="126"/>
    </row>
    <row r="51" spans="2:6" ht="12" customHeight="1" x14ac:dyDescent="0.2">
      <c r="B51" s="78" t="s">
        <v>14</v>
      </c>
      <c r="C51" s="118" cm="1">
        <f t="array" ref="C51">(VLOOKUP($B51,$E$8:$G$32,3,0)*(-(VLOOKUP(C$50,$E$8:$G$32,3,0))))/SUMPRODUCT(($G$8:$G$32&gt;0)*($G$8:$G$32))</f>
        <v>4471688.8861235892</v>
      </c>
      <c r="D51" s="118" cm="1">
        <f t="array" ref="D51">(VLOOKUP($B51,$E$8:$G$32,3,0)*(-(VLOOKUP(D$50,$E$8:$G$32,3,0))))/SUMPRODUCT(($G$8:$G$32&gt;0)*($G$8:$G$32))</f>
        <v>1052878.5493670637</v>
      </c>
      <c r="E51" s="118" cm="1">
        <f t="array" ref="E51">(VLOOKUP($B51,$E$8:$G$32,3,0)*(-(VLOOKUP(E$50,$E$8:$G$32,3,0))))/SUMPRODUCT(($G$8:$G$32&gt;0)*($G$8:$G$32))</f>
        <v>22033.170952091026</v>
      </c>
      <c r="F51" s="119">
        <f t="shared" ref="F51:F72" si="1">SUM(C51:E51)</f>
        <v>5546600.6064427439</v>
      </c>
    </row>
    <row r="52" spans="2:6" x14ac:dyDescent="0.2">
      <c r="B52" s="81" t="s">
        <v>15</v>
      </c>
      <c r="C52" s="118" cm="1">
        <f t="array" ref="C52">(VLOOKUP($B52,$E$8:$G$32,3,0)*(-(VLOOKUP(C$50,$E$8:$G$32,3,0))))/SUMPRODUCT(($G$8:$G$32&gt;0)*($G$8:$G$32))</f>
        <v>2646460.768095965</v>
      </c>
      <c r="D52" s="118" cm="1">
        <f t="array" ref="D52">(VLOOKUP($B52,$E$8:$G$32,3,0)*(-(VLOOKUP(D$50,$E$8:$G$32,3,0))))/SUMPRODUCT(($G$8:$G$32&gt;0)*($G$8:$G$32))</f>
        <v>623120.66993667709</v>
      </c>
      <c r="E52" s="118" cm="1">
        <f t="array" ref="E52">(VLOOKUP($B52,$E$8:$G$32,3,0)*(-(VLOOKUP(E$50,$E$8:$G$32,3,0))))/SUMPRODUCT(($G$8:$G$32&gt;0)*($G$8:$G$32))</f>
        <v>13039.798609962809</v>
      </c>
      <c r="F52" s="119">
        <f t="shared" si="1"/>
        <v>3282621.2366426047</v>
      </c>
    </row>
    <row r="53" spans="2:6" x14ac:dyDescent="0.2">
      <c r="B53" s="78" t="s">
        <v>16</v>
      </c>
      <c r="C53" s="118" cm="1">
        <f t="array" ref="C53">(VLOOKUP($B53,$E$8:$G$32,3,0)*(-(VLOOKUP(C$50,$E$8:$G$32,3,0))))/SUMPRODUCT(($G$8:$G$32&gt;0)*($G$8:$G$32))</f>
        <v>4810057.1214249339</v>
      </c>
      <c r="D53" s="118" cm="1">
        <f t="array" ref="D53">(VLOOKUP($B53,$E$8:$G$32,3,0)*(-(VLOOKUP(D$50,$E$8:$G$32,3,0))))/SUMPRODUCT(($G$8:$G$32&gt;0)*($G$8:$G$32))</f>
        <v>1132548.8184328543</v>
      </c>
      <c r="E53" s="118" cm="1">
        <f t="array" ref="E53">(VLOOKUP($B53,$E$8:$G$32,3,0)*(-(VLOOKUP(E$50,$E$8:$G$32,3,0))))/SUMPRODUCT(($G$8:$G$32&gt;0)*($G$8:$G$32))</f>
        <v>23700.399009098081</v>
      </c>
      <c r="F53" s="119">
        <f t="shared" si="1"/>
        <v>5966306.3388668867</v>
      </c>
    </row>
    <row r="54" spans="2:6" x14ac:dyDescent="0.2">
      <c r="B54" s="78" t="s">
        <v>17</v>
      </c>
      <c r="C54" s="118" cm="1">
        <f t="array" ref="C54">(VLOOKUP($B54,$E$8:$G$32,3,0)*(-(VLOOKUP(C$50,$E$8:$G$32,3,0))))/SUMPRODUCT(($G$8:$G$32&gt;0)*($G$8:$G$32))</f>
        <v>1090314.183237042</v>
      </c>
      <c r="D54" s="118" cm="1">
        <f t="array" ref="D54">(VLOOKUP($B54,$E$8:$G$32,3,0)*(-(VLOOKUP(D$50,$E$8:$G$32,3,0))))/SUMPRODUCT(($G$8:$G$32&gt;0)*($G$8:$G$32))</f>
        <v>256719.20494363835</v>
      </c>
      <c r="E54" s="118" cm="1">
        <f t="array" ref="E54">(VLOOKUP($B54,$E$8:$G$32,3,0)*(-(VLOOKUP(E$50,$E$8:$G$32,3,0))))/SUMPRODUCT(($G$8:$G$32&gt;0)*($G$8:$G$32))</f>
        <v>5372.2607727248078</v>
      </c>
      <c r="F54" s="119">
        <f t="shared" si="1"/>
        <v>1352405.6489534052</v>
      </c>
    </row>
    <row r="55" spans="2:6" x14ac:dyDescent="0.2">
      <c r="B55" s="78" t="s">
        <v>83</v>
      </c>
      <c r="C55" s="118" cm="1">
        <f t="array" ref="C55">(VLOOKUP($B55,$E$8:$G$32,3,0)*(-(VLOOKUP(C$50,$E$8:$G$32,3,0))))/SUMPRODUCT(($G$8:$G$32&gt;0)*($G$8:$G$32))</f>
        <v>344830937.81572753</v>
      </c>
      <c r="D55" s="118" cm="1">
        <f t="array" ref="D55">(VLOOKUP($B55,$E$8:$G$32,3,0)*(-(VLOOKUP(D$50,$E$8:$G$32,3,0))))/SUMPRODUCT(($G$8:$G$32&gt;0)*($G$8:$G$32))</f>
        <v>81191940.412258998</v>
      </c>
      <c r="E55" s="118" cm="1">
        <f t="array" ref="E55">(VLOOKUP($B55,$E$8:$G$32,3,0)*(-(VLOOKUP(E$50,$E$8:$G$32,3,0))))/SUMPRODUCT(($G$8:$G$32&gt;0)*($G$8:$G$32))</f>
        <v>1699071.4685095397</v>
      </c>
      <c r="F55" s="119">
        <f t="shared" si="1"/>
        <v>427721949.69649607</v>
      </c>
    </row>
    <row r="56" spans="2:6" x14ac:dyDescent="0.2">
      <c r="B56" s="78" t="s">
        <v>29</v>
      </c>
      <c r="C56" s="118" cm="1">
        <f t="array" ref="C56">(VLOOKUP($B56,$E$8:$G$32,3,0)*(-(VLOOKUP(C$50,$E$8:$G$32,3,0))))/SUMPRODUCT(($G$8:$G$32&gt;0)*($G$8:$G$32))</f>
        <v>4506760.9762314186</v>
      </c>
      <c r="D56" s="118" cm="1">
        <f t="array" ref="D56">(VLOOKUP($B56,$E$8:$G$32,3,0)*(-(VLOOKUP(D$50,$E$8:$G$32,3,0))))/SUMPRODUCT(($G$8:$G$32&gt;0)*($G$8:$G$32))</f>
        <v>1061136.4251487602</v>
      </c>
      <c r="E56" s="118" cm="1">
        <f t="array" ref="E56">(VLOOKUP($B56,$E$8:$G$32,3,0)*(-(VLOOKUP(E$50,$E$8:$G$32,3,0))))/SUMPRODUCT(($G$8:$G$32&gt;0)*($G$8:$G$32))</f>
        <v>22205.980236607869</v>
      </c>
      <c r="F56" s="119">
        <f t="shared" si="1"/>
        <v>5590103.3816167861</v>
      </c>
    </row>
    <row r="57" spans="2:6" x14ac:dyDescent="0.2">
      <c r="B57" s="78" t="s">
        <v>30</v>
      </c>
      <c r="C57" s="118" cm="1">
        <f t="array" ref="C57">(VLOOKUP($B57,$E$8:$G$32,3,0)*(-(VLOOKUP(C$50,$E$8:$G$32,3,0))))/SUMPRODUCT(($G$8:$G$32&gt;0)*($G$8:$G$32))</f>
        <v>11524761.862237679</v>
      </c>
      <c r="D57" s="118" cm="1">
        <f t="array" ref="D57">(VLOOKUP($B57,$E$8:$G$32,3,0)*(-(VLOOKUP(D$50,$E$8:$G$32,3,0))))/SUMPRODUCT(($G$8:$G$32&gt;0)*($G$8:$G$32))</f>
        <v>2713555.1824654154</v>
      </c>
      <c r="E57" s="118" cm="1">
        <f t="array" ref="E57">(VLOOKUP($B57,$E$8:$G$32,3,0)*(-(VLOOKUP(E$50,$E$8:$G$32,3,0))))/SUMPRODUCT(($G$8:$G$32&gt;0)*($G$8:$G$32))</f>
        <v>56785.490842352774</v>
      </c>
      <c r="F57" s="119">
        <f t="shared" si="1"/>
        <v>14295102.535545448</v>
      </c>
    </row>
    <row r="58" spans="2:6" x14ac:dyDescent="0.2">
      <c r="B58" s="78" t="s">
        <v>31</v>
      </c>
      <c r="C58" s="118" cm="1">
        <f t="array" ref="C58">(VLOOKUP($B58,$E$8:$G$32,3,0)*(-(VLOOKUP(C$50,$E$8:$G$32,3,0))))/SUMPRODUCT(($G$8:$G$32&gt;0)*($G$8:$G$32))</f>
        <v>6971026.5920054372</v>
      </c>
      <c r="D58" s="118" cm="1">
        <f t="array" ref="D58">(VLOOKUP($B58,$E$8:$G$32,3,0)*(-(VLOOKUP(D$50,$E$8:$G$32,3,0))))/SUMPRODUCT(($G$8:$G$32&gt;0)*($G$8:$G$32))</f>
        <v>1641358.4559887594</v>
      </c>
      <c r="E58" s="118" cm="1">
        <f t="array" ref="E58">(VLOOKUP($B58,$E$8:$G$32,3,0)*(-(VLOOKUP(E$50,$E$8:$G$32,3,0))))/SUMPRODUCT(($G$8:$G$32&gt;0)*($G$8:$G$32))</f>
        <v>34348.056075604014</v>
      </c>
      <c r="F58" s="119">
        <f t="shared" si="1"/>
        <v>8646733.104069801</v>
      </c>
    </row>
    <row r="59" spans="2:6" x14ac:dyDescent="0.2">
      <c r="B59" s="78" t="s">
        <v>32</v>
      </c>
      <c r="C59" s="118" cm="1">
        <f t="array" ref="C59">(VLOOKUP($B59,$E$8:$G$32,3,0)*(-(VLOOKUP(C$50,$E$8:$G$32,3,0))))/SUMPRODUCT(($G$8:$G$32&gt;0)*($G$8:$G$32))</f>
        <v>2122031.6967436327</v>
      </c>
      <c r="D59" s="118" cm="1">
        <f t="array" ref="D59">(VLOOKUP($B59,$E$8:$G$32,3,0)*(-(VLOOKUP(D$50,$E$8:$G$32,3,0))))/SUMPRODUCT(($G$8:$G$32&gt;0)*($G$8:$G$32))</f>
        <v>499641.56976832548</v>
      </c>
      <c r="E59" s="118" cm="1">
        <f t="array" ref="E59">(VLOOKUP($B59,$E$8:$G$32,3,0)*(-(VLOOKUP(E$50,$E$8:$G$32,3,0))))/SUMPRODUCT(($G$8:$G$32&gt;0)*($G$8:$G$32))</f>
        <v>10455.8005556239</v>
      </c>
      <c r="F59" s="119">
        <f t="shared" si="1"/>
        <v>2632129.0670675822</v>
      </c>
    </row>
    <row r="60" spans="2:6" x14ac:dyDescent="0.2">
      <c r="B60" s="78" t="s">
        <v>33</v>
      </c>
      <c r="C60" s="118" cm="1">
        <f t="array" ref="C60">(VLOOKUP($B60,$E$8:$G$32,3,0)*(-(VLOOKUP(C$50,$E$8:$G$32,3,0))))/SUMPRODUCT(($G$8:$G$32&gt;0)*($G$8:$G$32))</f>
        <v>1884584.4958346621</v>
      </c>
      <c r="D60" s="118" cm="1">
        <f t="array" ref="D60">(VLOOKUP($B60,$E$8:$G$32,3,0)*(-(VLOOKUP(D$50,$E$8:$G$32,3,0))))/SUMPRODUCT(($G$8:$G$32&gt;0)*($G$8:$G$32))</f>
        <v>443733.59611208364</v>
      </c>
      <c r="E60" s="118" cm="1">
        <f t="array" ref="E60">(VLOOKUP($B60,$E$8:$G$32,3,0)*(-(VLOOKUP(E$50,$E$8:$G$32,3,0))))/SUMPRODUCT(($G$8:$G$32&gt;0)*($G$8:$G$32))</f>
        <v>9285.8366106907561</v>
      </c>
      <c r="F60" s="119">
        <f t="shared" si="1"/>
        <v>2337603.9285574364</v>
      </c>
    </row>
    <row r="61" spans="2:6" x14ac:dyDescent="0.2">
      <c r="B61" s="78" t="s">
        <v>34</v>
      </c>
      <c r="C61" s="118" cm="1">
        <f t="array" ref="C61">(VLOOKUP($B61,$E$8:$G$32,3,0)*(-(VLOOKUP(C$50,$E$8:$G$32,3,0))))/SUMPRODUCT(($G$8:$G$32&gt;0)*($G$8:$G$32))</f>
        <v>5107449.6958155045</v>
      </c>
      <c r="D61" s="118" cm="1">
        <f t="array" ref="D61">(VLOOKUP($B61,$E$8:$G$32,3,0)*(-(VLOOKUP(D$50,$E$8:$G$32,3,0))))/SUMPRODUCT(($G$8:$G$32&gt;0)*($G$8:$G$32))</f>
        <v>1202571.1903578199</v>
      </c>
      <c r="E61" s="118" cm="1">
        <f t="array" ref="E61">(VLOOKUP($B61,$E$8:$G$32,3,0)*(-(VLOOKUP(E$50,$E$8:$G$32,3,0))))/SUMPRODUCT(($G$8:$G$32&gt;0)*($G$8:$G$32))</f>
        <v>25165.729357048589</v>
      </c>
      <c r="F61" s="119">
        <f t="shared" si="1"/>
        <v>6335186.6155303735</v>
      </c>
    </row>
    <row r="62" spans="2:6" x14ac:dyDescent="0.2">
      <c r="B62" s="78" t="s">
        <v>35</v>
      </c>
      <c r="C62" s="118" cm="1">
        <f t="array" ref="C62">(VLOOKUP($B62,$E$8:$G$32,3,0)*(-(VLOOKUP(C$50,$E$8:$G$32,3,0))))/SUMPRODUCT(($G$8:$G$32&gt;0)*($G$8:$G$32))</f>
        <v>32495198.845986716</v>
      </c>
      <c r="D62" s="118" cm="1">
        <f t="array" ref="D62">(VLOOKUP($B62,$E$8:$G$32,3,0)*(-(VLOOKUP(D$50,$E$8:$G$32,3,0))))/SUMPRODUCT(($G$8:$G$32&gt;0)*($G$8:$G$32))</f>
        <v>7651135.5538456785</v>
      </c>
      <c r="E62" s="118" cm="1">
        <f t="array" ref="E62">(VLOOKUP($B62,$E$8:$G$32,3,0)*(-(VLOOKUP(E$50,$E$8:$G$32,3,0))))/SUMPRODUCT(($G$8:$G$32&gt;0)*($G$8:$G$32))</f>
        <v>160112.27290825176</v>
      </c>
      <c r="F62" s="119">
        <f t="shared" si="1"/>
        <v>40306446.672740653</v>
      </c>
    </row>
    <row r="63" spans="2:6" x14ac:dyDescent="0.2">
      <c r="B63" s="78" t="s">
        <v>36</v>
      </c>
      <c r="C63" s="118" cm="1">
        <f t="array" ref="C63">(VLOOKUP($B63,$E$8:$G$32,3,0)*(-(VLOOKUP(C$50,$E$8:$G$32,3,0))))/SUMPRODUCT(($G$8:$G$32&gt;0)*($G$8:$G$32))</f>
        <v>7946159.6042977925</v>
      </c>
      <c r="D63" s="118" cm="1">
        <f t="array" ref="D63">(VLOOKUP($B63,$E$8:$G$32,3,0)*(-(VLOOKUP(D$50,$E$8:$G$32,3,0))))/SUMPRODUCT(($G$8:$G$32&gt;0)*($G$8:$G$32))</f>
        <v>1870957.7545017493</v>
      </c>
      <c r="E63" s="118" cm="1">
        <f t="array" ref="E63">(VLOOKUP($B63,$E$8:$G$32,3,0)*(-(VLOOKUP(E$50,$E$8:$G$32,3,0))))/SUMPRODUCT(($G$8:$G$32&gt;0)*($G$8:$G$32))</f>
        <v>39152.789344847632</v>
      </c>
      <c r="F63" s="119">
        <f t="shared" si="1"/>
        <v>9856270.1481443886</v>
      </c>
    </row>
    <row r="64" spans="2:6" x14ac:dyDescent="0.2">
      <c r="B64" s="78" t="s">
        <v>37</v>
      </c>
      <c r="C64" s="118" cm="1">
        <f t="array" ref="C64">(VLOOKUP($B64,$E$8:$G$32,3,0)*(-(VLOOKUP(C$50,$E$8:$G$32,3,0))))/SUMPRODUCT(($G$8:$G$32&gt;0)*($G$8:$G$32))</f>
        <v>64581426.101497687</v>
      </c>
      <c r="D64" s="118" cm="1">
        <f t="array" ref="D64">(VLOOKUP($B64,$E$8:$G$32,3,0)*(-(VLOOKUP(D$50,$E$8:$G$32,3,0))))/SUMPRODUCT(($G$8:$G$32&gt;0)*($G$8:$G$32))</f>
        <v>15205976.972325934</v>
      </c>
      <c r="E64" s="118" cm="1">
        <f t="array" ref="E64">(VLOOKUP($B64,$E$8:$G$32,3,0)*(-(VLOOKUP(E$50,$E$8:$G$32,3,0))))/SUMPRODUCT(($G$8:$G$32&gt;0)*($G$8:$G$32))</f>
        <v>318209.43671634601</v>
      </c>
      <c r="F64" s="119">
        <f t="shared" si="1"/>
        <v>80105612.510539964</v>
      </c>
    </row>
    <row r="65" spans="2:11" x14ac:dyDescent="0.2">
      <c r="B65" s="78" t="s">
        <v>38</v>
      </c>
      <c r="C65" s="118" cm="1">
        <f t="array" ref="C65">(VLOOKUP($B65,$E$8:$G$32,3,0)*(-(VLOOKUP(C$50,$E$8:$G$32,3,0))))/SUMPRODUCT(($G$8:$G$32&gt;0)*($G$8:$G$32))</f>
        <v>2260480.5728352349</v>
      </c>
      <c r="D65" s="118" cm="1">
        <f t="array" ref="D65">(VLOOKUP($B65,$E$8:$G$32,3,0)*(-(VLOOKUP(D$50,$E$8:$G$32,3,0))))/SUMPRODUCT(($G$8:$G$32&gt;0)*($G$8:$G$32))</f>
        <v>532239.9583264325</v>
      </c>
      <c r="E65" s="118" cm="1">
        <f t="array" ref="E65">(VLOOKUP($B65,$E$8:$G$32,3,0)*(-(VLOOKUP(E$50,$E$8:$G$32,3,0))))/SUMPRODUCT(($G$8:$G$32&gt;0)*($G$8:$G$32))</f>
        <v>11137.974077247296</v>
      </c>
      <c r="F65" s="119">
        <f t="shared" si="1"/>
        <v>2803858.5052389144</v>
      </c>
    </row>
    <row r="66" spans="2:11" x14ac:dyDescent="0.2">
      <c r="B66" s="78" t="s">
        <v>40</v>
      </c>
      <c r="C66" s="118" cm="1">
        <f t="array" ref="C66">(VLOOKUP($B66,$E$8:$G$32,3,0)*(-(VLOOKUP(C$50,$E$8:$G$32,3,0))))/SUMPRODUCT(($G$8:$G$32&gt;0)*($G$8:$G$32))</f>
        <v>2359348.4162351657</v>
      </c>
      <c r="D66" s="118" cm="1">
        <f t="array" ref="D66">(VLOOKUP($B66,$E$8:$G$32,3,0)*(-(VLOOKUP(D$50,$E$8:$G$32,3,0))))/SUMPRODUCT(($G$8:$G$32&gt;0)*($G$8:$G$32))</f>
        <v>555518.82100871706</v>
      </c>
      <c r="E66" s="118" cm="1">
        <f t="array" ref="E66">(VLOOKUP($B66,$E$8:$G$32,3,0)*(-(VLOOKUP(E$50,$E$8:$G$32,3,0))))/SUMPRODUCT(($G$8:$G$32&gt;0)*($G$8:$G$32))</f>
        <v>11625.121584770706</v>
      </c>
      <c r="F66" s="119">
        <f t="shared" si="1"/>
        <v>2926492.3588286536</v>
      </c>
    </row>
    <row r="67" spans="2:11" x14ac:dyDescent="0.2">
      <c r="B67" s="78" t="s">
        <v>41</v>
      </c>
      <c r="C67" s="118" cm="1">
        <f t="array" ref="C67">(VLOOKUP($B67,$E$8:$G$32,3,0)*(-(VLOOKUP(C$50,$E$8:$G$32,3,0))))/SUMPRODUCT(($G$8:$G$32&gt;0)*($G$8:$G$32))</f>
        <v>5912238.8744262606</v>
      </c>
      <c r="D67" s="118" cm="1">
        <f t="array" ref="D67">(VLOOKUP($B67,$E$8:$G$32,3,0)*(-(VLOOKUP(D$50,$E$8:$G$32,3,0))))/SUMPRODUCT(($G$8:$G$32&gt;0)*($G$8:$G$32))</f>
        <v>1392062.2941668215</v>
      </c>
      <c r="E67" s="118" cm="1">
        <f t="array" ref="E67">(VLOOKUP($B67,$E$8:$G$32,3,0)*(-(VLOOKUP(E$50,$E$8:$G$32,3,0))))/SUMPRODUCT(($G$8:$G$32&gt;0)*($G$8:$G$32))</f>
        <v>29131.134376111811</v>
      </c>
      <c r="F67" s="119">
        <f t="shared" si="1"/>
        <v>7333432.302969194</v>
      </c>
    </row>
    <row r="68" spans="2:11" x14ac:dyDescent="0.2">
      <c r="B68" s="78" t="s">
        <v>42</v>
      </c>
      <c r="C68" s="118" cm="1">
        <f t="array" ref="C68">(VLOOKUP($B68,$E$8:$G$32,3,0)*(-(VLOOKUP(C$50,$E$8:$G$32,3,0))))/SUMPRODUCT(($G$8:$G$32&gt;0)*($G$8:$G$32))</f>
        <v>5482199.5575934593</v>
      </c>
      <c r="D68" s="118" cm="1">
        <f t="array" ref="D68">(VLOOKUP($B68,$E$8:$G$32,3,0)*(-(VLOOKUP(D$50,$E$8:$G$32,3,0))))/SUMPRODUCT(($G$8:$G$32&gt;0)*($G$8:$G$32))</f>
        <v>1290807.6712249673</v>
      </c>
      <c r="E68" s="118" cm="1">
        <f t="array" ref="E68">(VLOOKUP($B68,$E$8:$G$32,3,0)*(-(VLOOKUP(E$50,$E$8:$G$32,3,0))))/SUMPRODUCT(($G$8:$G$32&gt;0)*($G$8:$G$32))</f>
        <v>27012.21912391247</v>
      </c>
      <c r="F68" s="119">
        <f t="shared" si="1"/>
        <v>6800019.4479423389</v>
      </c>
    </row>
    <row r="69" spans="2:11" x14ac:dyDescent="0.2">
      <c r="B69" s="78" t="s">
        <v>43</v>
      </c>
      <c r="C69" s="118" cm="1">
        <f t="array" ref="C69">(VLOOKUP($B69,$E$8:$G$32,3,0)*(-(VLOOKUP(C$50,$E$8:$G$32,3,0))))/SUMPRODUCT(($G$8:$G$32&gt;0)*($G$8:$G$32))</f>
        <v>6999528.111803418</v>
      </c>
      <c r="D69" s="118" cm="1">
        <f t="array" ref="D69">(VLOOKUP($B69,$E$8:$G$32,3,0)*(-(VLOOKUP(D$50,$E$8:$G$32,3,0))))/SUMPRODUCT(($G$8:$G$32&gt;0)*($G$8:$G$32))</f>
        <v>1648069.2624835439</v>
      </c>
      <c r="E69" s="118" cm="1">
        <f t="array" ref="E69">(VLOOKUP($B69,$E$8:$G$32,3,0)*(-(VLOOKUP(E$50,$E$8:$G$32,3,0))))/SUMPRODUCT(($G$8:$G$32&gt;0)*($G$8:$G$32))</f>
        <v>34488.490456012732</v>
      </c>
      <c r="F69" s="119">
        <f t="shared" si="1"/>
        <v>8682085.8647429757</v>
      </c>
    </row>
    <row r="70" spans="2:11" x14ac:dyDescent="0.2">
      <c r="B70" s="78" t="s">
        <v>45</v>
      </c>
      <c r="C70" s="118" cm="1">
        <f t="array" ref="C70">(VLOOKUP($B70,$E$8:$G$32,3,0)*(-(VLOOKUP(C$50,$E$8:$G$32,3,0))))/SUMPRODUCT(($G$8:$G$32&gt;0)*($G$8:$G$32))</f>
        <v>703594.49870373227</v>
      </c>
      <c r="D70" s="118" cm="1">
        <f t="array" ref="D70">(VLOOKUP($B70,$E$8:$G$32,3,0)*(-(VLOOKUP(D$50,$E$8:$G$32,3,0))))/SUMPRODUCT(($G$8:$G$32&gt;0)*($G$8:$G$32))</f>
        <v>165664.37737577382</v>
      </c>
      <c r="E70" s="118" cm="1">
        <f t="array" ref="E70">(VLOOKUP($B70,$E$8:$G$32,3,0)*(-(VLOOKUP(E$50,$E$8:$G$32,3,0))))/SUMPRODUCT(($G$8:$G$32&gt;0)*($G$8:$G$32))</f>
        <v>3466.7925845639124</v>
      </c>
      <c r="F70" s="119">
        <f t="shared" si="1"/>
        <v>872725.66866407008</v>
      </c>
    </row>
    <row r="71" spans="2:11" x14ac:dyDescent="0.2">
      <c r="B71" s="78" t="s">
        <v>50</v>
      </c>
      <c r="C71" s="118" cm="1">
        <f t="array" ref="C71">(VLOOKUP($B71,$E$8:$G$32,3,0)*(-(VLOOKUP(C$50,$E$8:$G$32,3,0))))/SUMPRODUCT(($G$8:$G$32&gt;0)*($G$8:$G$32))</f>
        <v>9830.9404064811861</v>
      </c>
      <c r="D71" s="118" cm="1">
        <f t="array" ref="D71">(VLOOKUP($B71,$E$8:$G$32,3,0)*(-(VLOOKUP(D$50,$E$8:$G$32,3,0))))/SUMPRODUCT(($G$8:$G$32&gt;0)*($G$8:$G$32))</f>
        <v>2314.7375717953482</v>
      </c>
      <c r="E71" s="118" cm="1">
        <f t="array" ref="E71">(VLOOKUP($B71,$E$8:$G$32,3,0)*(-(VLOOKUP(E$50,$E$8:$G$32,3,0))))/SUMPRODUCT(($G$8:$G$32&gt;0)*($G$8:$G$32))</f>
        <v>48.439593207834051</v>
      </c>
      <c r="F71" s="119">
        <f t="shared" si="1"/>
        <v>12194.117571484367</v>
      </c>
    </row>
    <row r="72" spans="2:11" x14ac:dyDescent="0.2">
      <c r="B72" s="78" t="s">
        <v>49</v>
      </c>
      <c r="C72" s="118" cm="1">
        <f t="array" ref="C72">(VLOOKUP($B72,$E$8:$G$32,3,0)*(-(VLOOKUP(C$50,$E$8:$G$32,3,0))))/SUMPRODUCT(($G$8:$G$32&gt;0)*($G$8:$G$32))</f>
        <v>0</v>
      </c>
      <c r="D72" s="118" cm="1">
        <f t="array" ref="D72">(VLOOKUP($B72,$E$8:$G$32,3,0)*(-(VLOOKUP(D$50,$E$8:$G$32,3,0))))/SUMPRODUCT(($G$8:$G$32&gt;0)*($G$8:$G$32))</f>
        <v>0</v>
      </c>
      <c r="E72" s="118" cm="1">
        <f t="array" ref="E72">(VLOOKUP($B72,$E$8:$G$32,3,0)*(-(VLOOKUP(E$50,$E$8:$G$32,3,0))))/SUMPRODUCT(($G$8:$G$32&gt;0)*($G$8:$G$32))</f>
        <v>0</v>
      </c>
      <c r="F72" s="119">
        <f t="shared" si="1"/>
        <v>0</v>
      </c>
    </row>
    <row r="73" spans="2:11" x14ac:dyDescent="0.2">
      <c r="B73" s="120" t="s">
        <v>52</v>
      </c>
      <c r="C73" s="121">
        <f>SUM(C51:C72)</f>
        <v>518716079.61726332</v>
      </c>
      <c r="D73" s="121">
        <f>SUM(D51:D72)</f>
        <v>122133951.47761178</v>
      </c>
      <c r="E73" s="121">
        <f>SUM(E51:E72)</f>
        <v>2555848.6622966165</v>
      </c>
      <c r="F73" s="82">
        <f>SUM(F51:F72)</f>
        <v>643405879.75717187</v>
      </c>
    </row>
    <row r="74" spans="2:11" x14ac:dyDescent="0.2">
      <c r="B74" s="50"/>
      <c r="C74" s="107"/>
      <c r="D74" s="107"/>
      <c r="E74" s="107"/>
      <c r="F74" s="107"/>
      <c r="G74" s="107"/>
      <c r="H74" s="107"/>
      <c r="I74" s="107"/>
      <c r="J74" s="107"/>
      <c r="K74" s="17"/>
    </row>
    <row r="75" spans="2:11" x14ac:dyDescent="0.2">
      <c r="B75" s="111"/>
      <c r="C75" s="122"/>
      <c r="D75" s="122"/>
      <c r="E75" s="122"/>
      <c r="F75" s="84">
        <f>-SUMPRODUCT(($G$8:$G$32&lt;0)*($G$8:$G$32))</f>
        <v>643405879.75717187</v>
      </c>
      <c r="H75" s="50"/>
      <c r="I75" s="50"/>
      <c r="J75" s="50"/>
    </row>
    <row r="76" spans="2:11" x14ac:dyDescent="0.2">
      <c r="B76" s="50"/>
      <c r="C76" s="50"/>
      <c r="D76" s="50"/>
      <c r="E76" s="50"/>
      <c r="F76" s="85">
        <f>F73-F75</f>
        <v>0</v>
      </c>
      <c r="H76" s="50"/>
      <c r="I76" s="50"/>
      <c r="J76" s="50"/>
    </row>
    <row r="77" spans="2:11" x14ac:dyDescent="0.2">
      <c r="B77" s="50"/>
      <c r="C77" s="50"/>
      <c r="D77" s="50"/>
      <c r="E77" s="50"/>
      <c r="F77" s="85">
        <f>F73-J6</f>
        <v>0</v>
      </c>
      <c r="H77" s="50"/>
      <c r="I77" s="50"/>
      <c r="J77" s="50"/>
    </row>
    <row r="91" spans="4:7" x14ac:dyDescent="0.2">
      <c r="D91" s="50"/>
      <c r="E91" s="50"/>
      <c r="F91" s="50"/>
      <c r="G91" s="50"/>
    </row>
  </sheetData>
  <mergeCells count="9">
    <mergeCell ref="J6:J7"/>
    <mergeCell ref="B49:B50"/>
    <mergeCell ref="C49:E49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Entrada AR</vt:lpstr>
      <vt:lpstr>Entrada TD</vt:lpstr>
      <vt:lpstr>Entrada CDRGL</vt:lpstr>
      <vt:lpstr>Entrada 7TRAN</vt:lpstr>
      <vt:lpstr>Reliquidación TD</vt:lpstr>
      <vt:lpstr>Reliquidación AR</vt:lpstr>
      <vt:lpstr>CUADRO DE PAGO AR</vt:lpstr>
      <vt:lpstr>Reliquidación CD RGL</vt:lpstr>
      <vt:lpstr>CUADRO DE PAGO CD RGL</vt:lpstr>
      <vt:lpstr>Reliquidación 7TRAN</vt:lpstr>
      <vt:lpstr>CUADRO DE PAGO 7TRAN</vt:lpstr>
      <vt:lpstr>'Entrada 7TRAN'!DirectorioEntrada</vt:lpstr>
      <vt:lpstr>'Entrada AR'!DirectorioEntrada</vt:lpstr>
      <vt:lpstr>'Entrada CDRGL'!DirectorioEntrada</vt:lpstr>
      <vt:lpstr>'Entrada TD'!DirectorioEntrada</vt:lpstr>
      <vt:lpstr>'Entrada 7TRAN'!FechaFacturacion</vt:lpstr>
      <vt:lpstr>'Entrada AR'!FechaFacturacion</vt:lpstr>
      <vt:lpstr>'Entrada CDRGL'!FechaFacturacion</vt:lpstr>
      <vt:lpstr>'Entrada TD'!FechaFacturacion</vt:lpstr>
      <vt:lpstr>FechaFacturacion</vt:lpstr>
      <vt:lpstr>'Entrada 7TRAN'!Responsable</vt:lpstr>
      <vt:lpstr>'Entrada AR'!Responsable</vt:lpstr>
      <vt:lpstr>'Entrada CDRGL'!Responsable</vt:lpstr>
      <vt:lpstr>'Entrada TD'!Responsable</vt:lpstr>
      <vt:lpstr>'Entrada 7TRAN'!version</vt:lpstr>
      <vt:lpstr>'Entrada AR'!version</vt:lpstr>
      <vt:lpstr>'Entrada CDRGL'!version</vt:lpstr>
      <vt:lpstr>'Entrada TD'!version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Osvaldo  Sanhueza Ramirez</dc:creator>
  <cp:lastModifiedBy>Rubén Osvaldo  Sanhueza Ramirez</cp:lastModifiedBy>
  <dcterms:created xsi:type="dcterms:W3CDTF">2025-04-25T16:21:07Z</dcterms:created>
  <dcterms:modified xsi:type="dcterms:W3CDTF">2025-04-25T16:21:10Z</dcterms:modified>
</cp:coreProperties>
</file>