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BCD\002_Cargos_Tarifarios\2025\02 Febrero\Pre\"/>
    </mc:Choice>
  </mc:AlternateContent>
  <xr:revisionPtr revIDLastSave="0" documentId="13_ncr:1_{3B46C3F1-BD3A-4292-B40A-374B165C03C3}" xr6:coauthVersionLast="47" xr6:coauthVersionMax="47" xr10:uidLastSave="{00000000-0000-0000-0000-000000000000}"/>
  <bookViews>
    <workbookView xWindow="-120" yWindow="-120" windowWidth="29040" windowHeight="15720" xr2:uid="{1A18DE2B-6F3E-4050-A770-6DC7C7A76160}"/>
  </bookViews>
  <sheets>
    <sheet name="Entrada AR" sheetId="1" r:id="rId1"/>
    <sheet name="Entrada TD" sheetId="2" r:id="rId2"/>
    <sheet name="Entrada CDRGL" sheetId="3" r:id="rId3"/>
    <sheet name="Entrada 7TRAN" sheetId="4" r:id="rId4"/>
    <sheet name="Reliquidación TD" sheetId="5" r:id="rId5"/>
    <sheet name="Reliquidación AR" sheetId="6" r:id="rId6"/>
    <sheet name="CUADRO DE PAGO AR" sheetId="7" r:id="rId7"/>
    <sheet name="Reliquidación CD RGL" sheetId="8" r:id="rId8"/>
    <sheet name="CUADRO DE PAGO CD RGL" sheetId="9" r:id="rId9"/>
    <sheet name="Reliquidación 7TRAN" sheetId="10" r:id="rId10"/>
    <sheet name="CUADRO DE PAGO 7TRAN" sheetId="11" r:id="rId11"/>
  </sheets>
  <externalReferences>
    <externalReference r:id="rId12"/>
  </externalReferences>
  <definedNames>
    <definedName name="_xlnm._FilterDatabase" localSheetId="10" hidden="1">'CUADRO DE PAGO 7TRAN'!$E$6:$G$33</definedName>
    <definedName name="_xlnm._FilterDatabase" localSheetId="6" hidden="1">'CUADRO DE PAGO AR'!$F$6:$H$33</definedName>
    <definedName name="_xlnm._FilterDatabase" localSheetId="8" hidden="1">'CUADRO DE PAGO CD RGL'!$E$6:$G$33</definedName>
    <definedName name="_xlnm._FilterDatabase" localSheetId="3" hidden="1">'Entrada 7TRAN'!$F$7:$J$44</definedName>
    <definedName name="_xlnm._FilterDatabase" localSheetId="0" hidden="1">'Entrada AR'!$F$6:$J$44</definedName>
    <definedName name="_xlnm._FilterDatabase" localSheetId="2" hidden="1">'Entrada CDRGL'!$F$7:$J$44</definedName>
    <definedName name="_xlnm._FilterDatabase" localSheetId="9" hidden="1">'Reliquidación 7TRAN'!$O$8:$O$44</definedName>
    <definedName name="_xlnm._FilterDatabase" localSheetId="7" hidden="1">'Reliquidación CD RGL'!$O$8:$O$44</definedName>
    <definedName name="_xlnm._FilterDatabase" localSheetId="4" hidden="1">'Reliquidación TD'!$O$8:$O$43</definedName>
    <definedName name="DirectorioEntrada" localSheetId="3">'Entrada 7TRAN'!$G$3</definedName>
    <definedName name="DirectorioEntrada" localSheetId="0">'Entrada AR'!$G$3</definedName>
    <definedName name="DirectorioEntrada" localSheetId="2">'Entrada CDRGL'!$G$3</definedName>
    <definedName name="DirectorioEntrada" localSheetId="1">'Entrada TD'!$G$3</definedName>
    <definedName name="FechaFacturacion" localSheetId="3">'Entrada 7TRAN'!$B$3</definedName>
    <definedName name="FechaFacturacion" localSheetId="0">'Entrada AR'!$B$3</definedName>
    <definedName name="FechaFacturacion" localSheetId="2">'Entrada CDRGL'!$B$3</definedName>
    <definedName name="FechaFacturacion" localSheetId="1">'Entrada TD'!$B$3</definedName>
    <definedName name="FechaFacturacion">'Entrada AR'!$B$3</definedName>
    <definedName name="Responsable" localSheetId="3">'Entrada 7TRAN'!$G$4</definedName>
    <definedName name="Responsable" localSheetId="0">'Entrada AR'!$G$4</definedName>
    <definedName name="Responsable" localSheetId="2">'Entrada CDRGL'!$G$4</definedName>
    <definedName name="Responsable" localSheetId="1">'Entrada TD'!$G$4</definedName>
    <definedName name="version" localSheetId="3">'Entrada 7TRAN'!$G$2</definedName>
    <definedName name="version" localSheetId="0">'Entrada AR'!$G$2</definedName>
    <definedName name="version" localSheetId="2">'Entrada CDRGL'!$G$2</definedName>
    <definedName name="version" localSheetId="1">'Entrada TD'!$G$2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1" l="1"/>
  <c r="G32" i="11" s="1"/>
  <c r="C41" i="11"/>
  <c r="G31" i="11" s="1"/>
  <c r="C40" i="11"/>
  <c r="C39" i="11"/>
  <c r="C38" i="11"/>
  <c r="C37" i="11"/>
  <c r="C36" i="11"/>
  <c r="C35" i="11"/>
  <c r="C34" i="11"/>
  <c r="F33" i="11"/>
  <c r="C33" i="11"/>
  <c r="C32" i="11"/>
  <c r="G25" i="11" s="1"/>
  <c r="C31" i="11"/>
  <c r="G24" i="11" s="1"/>
  <c r="G30" i="11"/>
  <c r="C30" i="11"/>
  <c r="G29" i="11"/>
  <c r="C29" i="11"/>
  <c r="G22" i="11" s="1"/>
  <c r="G28" i="11"/>
  <c r="C28" i="11"/>
  <c r="G27" i="11"/>
  <c r="C27" i="11"/>
  <c r="G26" i="11"/>
  <c r="C26" i="11"/>
  <c r="C25" i="11"/>
  <c r="G18" i="11" s="1"/>
  <c r="C24" i="11"/>
  <c r="G17" i="11" s="1"/>
  <c r="G23" i="11"/>
  <c r="C23" i="11"/>
  <c r="C22" i="11"/>
  <c r="G15" i="11" s="1"/>
  <c r="G21" i="11"/>
  <c r="C21" i="11"/>
  <c r="G20" i="11"/>
  <c r="C20" i="11"/>
  <c r="G19" i="11"/>
  <c r="C19" i="11"/>
  <c r="C18" i="11"/>
  <c r="C17" i="11"/>
  <c r="G13" i="11" s="1"/>
  <c r="G16" i="11"/>
  <c r="C16" i="11"/>
  <c r="C15" i="11"/>
  <c r="G12" i="11" s="1"/>
  <c r="G14" i="11"/>
  <c r="C14" i="11"/>
  <c r="C13" i="11"/>
  <c r="C12" i="11"/>
  <c r="C11" i="11"/>
  <c r="G11" i="11" s="1"/>
  <c r="C10" i="11"/>
  <c r="G10" i="11" s="1"/>
  <c r="G9" i="11"/>
  <c r="C9" i="11"/>
  <c r="C8" i="11"/>
  <c r="G8" i="11" s="1"/>
  <c r="B3" i="11"/>
  <c r="J44" i="10"/>
  <c r="H44" i="10"/>
  <c r="K43" i="10"/>
  <c r="I43" i="10"/>
  <c r="L43" i="10" s="1"/>
  <c r="G43" i="10"/>
  <c r="F43" i="10"/>
  <c r="E43" i="10"/>
  <c r="D43" i="10"/>
  <c r="C43" i="10"/>
  <c r="I42" i="10"/>
  <c r="G42" i="10"/>
  <c r="F42" i="10"/>
  <c r="E42" i="10"/>
  <c r="D42" i="10"/>
  <c r="C42" i="10"/>
  <c r="G41" i="10"/>
  <c r="F41" i="10"/>
  <c r="E41" i="10"/>
  <c r="D41" i="10"/>
  <c r="C41" i="10"/>
  <c r="G40" i="10"/>
  <c r="F40" i="10"/>
  <c r="E40" i="10"/>
  <c r="D40" i="10"/>
  <c r="C40" i="10"/>
  <c r="G39" i="10"/>
  <c r="F39" i="10"/>
  <c r="E39" i="10"/>
  <c r="D39" i="10"/>
  <c r="C39" i="10"/>
  <c r="K38" i="10"/>
  <c r="G38" i="10"/>
  <c r="F38" i="10"/>
  <c r="E38" i="10"/>
  <c r="D38" i="10"/>
  <c r="C38" i="10"/>
  <c r="I37" i="10"/>
  <c r="G37" i="10"/>
  <c r="F37" i="10"/>
  <c r="E37" i="10"/>
  <c r="D37" i="10"/>
  <c r="C37" i="10"/>
  <c r="K36" i="10"/>
  <c r="I36" i="10"/>
  <c r="L36" i="10" s="1"/>
  <c r="G36" i="10"/>
  <c r="F36" i="10"/>
  <c r="E36" i="10"/>
  <c r="D36" i="10"/>
  <c r="C36" i="10"/>
  <c r="I35" i="10"/>
  <c r="G35" i="10"/>
  <c r="F35" i="10"/>
  <c r="E35" i="10"/>
  <c r="D35" i="10"/>
  <c r="C35" i="10"/>
  <c r="G34" i="10"/>
  <c r="F34" i="10"/>
  <c r="E34" i="10"/>
  <c r="D34" i="10"/>
  <c r="C34" i="10"/>
  <c r="G33" i="10"/>
  <c r="F33" i="10"/>
  <c r="E33" i="10"/>
  <c r="D33" i="10"/>
  <c r="C33" i="10"/>
  <c r="G32" i="10"/>
  <c r="F32" i="10"/>
  <c r="E32" i="10"/>
  <c r="D32" i="10"/>
  <c r="C32" i="10"/>
  <c r="K31" i="10"/>
  <c r="G31" i="10"/>
  <c r="F31" i="10"/>
  <c r="E31" i="10"/>
  <c r="D31" i="10"/>
  <c r="C31" i="10"/>
  <c r="I30" i="10"/>
  <c r="G30" i="10"/>
  <c r="F30" i="10"/>
  <c r="E30" i="10"/>
  <c r="D30" i="10"/>
  <c r="C30" i="10"/>
  <c r="K29" i="10"/>
  <c r="I29" i="10"/>
  <c r="L29" i="10" s="1"/>
  <c r="G29" i="10"/>
  <c r="F29" i="10"/>
  <c r="E29" i="10"/>
  <c r="D29" i="10"/>
  <c r="C29" i="10"/>
  <c r="I28" i="10"/>
  <c r="G28" i="10"/>
  <c r="F28" i="10"/>
  <c r="E28" i="10"/>
  <c r="D28" i="10"/>
  <c r="C28" i="10"/>
  <c r="G27" i="10"/>
  <c r="F27" i="10"/>
  <c r="E27" i="10"/>
  <c r="D27" i="10"/>
  <c r="C27" i="10"/>
  <c r="G26" i="10"/>
  <c r="F26" i="10"/>
  <c r="E26" i="10"/>
  <c r="D26" i="10"/>
  <c r="C26" i="10"/>
  <c r="G25" i="10"/>
  <c r="F25" i="10"/>
  <c r="E25" i="10"/>
  <c r="D25" i="10"/>
  <c r="C25" i="10"/>
  <c r="K24" i="10"/>
  <c r="G24" i="10"/>
  <c r="F24" i="10"/>
  <c r="E24" i="10"/>
  <c r="D24" i="10"/>
  <c r="C24" i="10"/>
  <c r="I23" i="10"/>
  <c r="G23" i="10"/>
  <c r="F23" i="10"/>
  <c r="E23" i="10"/>
  <c r="D23" i="10"/>
  <c r="C23" i="10"/>
  <c r="K22" i="10"/>
  <c r="I22" i="10"/>
  <c r="L22" i="10" s="1"/>
  <c r="G22" i="10"/>
  <c r="F22" i="10"/>
  <c r="E22" i="10"/>
  <c r="D22" i="10"/>
  <c r="C22" i="10"/>
  <c r="I21" i="10"/>
  <c r="G21" i="10"/>
  <c r="F21" i="10"/>
  <c r="E21" i="10"/>
  <c r="D21" i="10"/>
  <c r="C21" i="10"/>
  <c r="G20" i="10"/>
  <c r="F20" i="10"/>
  <c r="E20" i="10"/>
  <c r="D20" i="10"/>
  <c r="C20" i="10"/>
  <c r="G19" i="10"/>
  <c r="F19" i="10"/>
  <c r="E19" i="10"/>
  <c r="D19" i="10"/>
  <c r="C19" i="10"/>
  <c r="G18" i="10"/>
  <c r="F18" i="10"/>
  <c r="E18" i="10"/>
  <c r="D18" i="10"/>
  <c r="C18" i="10"/>
  <c r="K17" i="10"/>
  <c r="G17" i="10"/>
  <c r="F17" i="10"/>
  <c r="E17" i="10"/>
  <c r="D17" i="10"/>
  <c r="C17" i="10"/>
  <c r="I16" i="10"/>
  <c r="G16" i="10"/>
  <c r="F16" i="10"/>
  <c r="E16" i="10"/>
  <c r="D16" i="10"/>
  <c r="C16" i="10"/>
  <c r="K15" i="10"/>
  <c r="I15" i="10"/>
  <c r="L15" i="10" s="1"/>
  <c r="G15" i="10"/>
  <c r="F15" i="10"/>
  <c r="E15" i="10"/>
  <c r="D15" i="10"/>
  <c r="C15" i="10"/>
  <c r="I14" i="10"/>
  <c r="G14" i="10"/>
  <c r="F14" i="10"/>
  <c r="E14" i="10"/>
  <c r="D14" i="10"/>
  <c r="C14" i="10"/>
  <c r="G13" i="10"/>
  <c r="F13" i="10"/>
  <c r="E13" i="10"/>
  <c r="D13" i="10"/>
  <c r="C13" i="10"/>
  <c r="G12" i="10"/>
  <c r="F12" i="10"/>
  <c r="E12" i="10"/>
  <c r="D12" i="10"/>
  <c r="C12" i="10"/>
  <c r="G11" i="10"/>
  <c r="F11" i="10"/>
  <c r="E11" i="10"/>
  <c r="D11" i="10"/>
  <c r="C11" i="10"/>
  <c r="K10" i="10"/>
  <c r="G10" i="10"/>
  <c r="F10" i="10"/>
  <c r="E10" i="10"/>
  <c r="D10" i="10"/>
  <c r="C10" i="10"/>
  <c r="K9" i="10"/>
  <c r="I9" i="10"/>
  <c r="G9" i="10"/>
  <c r="L9" i="10" s="1"/>
  <c r="F9" i="10"/>
  <c r="F44" i="10" s="1"/>
  <c r="E9" i="10"/>
  <c r="E44" i="10" s="1"/>
  <c r="D9" i="10"/>
  <c r="D44" i="10" s="1"/>
  <c r="C9" i="10"/>
  <c r="C44" i="10" s="1"/>
  <c r="I4" i="10"/>
  <c r="K39" i="10" s="1"/>
  <c r="B3" i="10"/>
  <c r="H6" i="10" s="1"/>
  <c r="C42" i="9"/>
  <c r="C41" i="9"/>
  <c r="G31" i="9" s="1"/>
  <c r="C40" i="9"/>
  <c r="G30" i="9" s="1"/>
  <c r="C39" i="9"/>
  <c r="C38" i="9"/>
  <c r="C37" i="9"/>
  <c r="C36" i="9"/>
  <c r="G29" i="9" s="1"/>
  <c r="C35" i="9"/>
  <c r="C34" i="9"/>
  <c r="F33" i="9"/>
  <c r="C33" i="9"/>
  <c r="G32" i="9"/>
  <c r="C32" i="9"/>
  <c r="C31" i="9"/>
  <c r="G24" i="9" s="1"/>
  <c r="C30" i="9"/>
  <c r="G23" i="9" s="1"/>
  <c r="C29" i="9"/>
  <c r="G22" i="9" s="1"/>
  <c r="G28" i="9"/>
  <c r="C28" i="9"/>
  <c r="G27" i="9"/>
  <c r="C27" i="9"/>
  <c r="G26" i="9"/>
  <c r="C26" i="9"/>
  <c r="G25" i="9"/>
  <c r="C25" i="9"/>
  <c r="C24" i="9"/>
  <c r="G17" i="9" s="1"/>
  <c r="C23" i="9"/>
  <c r="G16" i="9" s="1"/>
  <c r="C22" i="9"/>
  <c r="G15" i="9" s="1"/>
  <c r="G21" i="9"/>
  <c r="C21" i="9"/>
  <c r="G20" i="9"/>
  <c r="C20" i="9"/>
  <c r="G19" i="9"/>
  <c r="C19" i="9"/>
  <c r="G18" i="9"/>
  <c r="C18" i="9"/>
  <c r="C17" i="9"/>
  <c r="G13" i="9" s="1"/>
  <c r="C16" i="9"/>
  <c r="C15" i="9"/>
  <c r="G14" i="9"/>
  <c r="C14" i="9"/>
  <c r="G12" i="9" s="1"/>
  <c r="C13" i="9"/>
  <c r="C12" i="9"/>
  <c r="G11" i="9"/>
  <c r="C11" i="9"/>
  <c r="C10" i="9"/>
  <c r="G10" i="9" s="1"/>
  <c r="C9" i="9"/>
  <c r="G9" i="9" s="1"/>
  <c r="C8" i="9"/>
  <c r="C43" i="9" s="1"/>
  <c r="B3" i="9"/>
  <c r="J44" i="8"/>
  <c r="H44" i="8"/>
  <c r="K43" i="8"/>
  <c r="I43" i="8"/>
  <c r="L43" i="8" s="1"/>
  <c r="G43" i="8"/>
  <c r="F43" i="8"/>
  <c r="E43" i="8"/>
  <c r="D43" i="8"/>
  <c r="C43" i="8"/>
  <c r="I42" i="8"/>
  <c r="G42" i="8"/>
  <c r="F42" i="8"/>
  <c r="E42" i="8"/>
  <c r="D42" i="8"/>
  <c r="C42" i="8"/>
  <c r="G41" i="8"/>
  <c r="F41" i="8"/>
  <c r="E41" i="8"/>
  <c r="D41" i="8"/>
  <c r="C41" i="8"/>
  <c r="G40" i="8"/>
  <c r="F40" i="8"/>
  <c r="E40" i="8"/>
  <c r="D40" i="8"/>
  <c r="C40" i="8"/>
  <c r="G39" i="8"/>
  <c r="F39" i="8"/>
  <c r="E39" i="8"/>
  <c r="D39" i="8"/>
  <c r="C39" i="8"/>
  <c r="K38" i="8"/>
  <c r="G38" i="8"/>
  <c r="F38" i="8"/>
  <c r="E38" i="8"/>
  <c r="D38" i="8"/>
  <c r="C38" i="8"/>
  <c r="I37" i="8"/>
  <c r="G37" i="8"/>
  <c r="F37" i="8"/>
  <c r="E37" i="8"/>
  <c r="D37" i="8"/>
  <c r="C37" i="8"/>
  <c r="K36" i="8"/>
  <c r="I36" i="8"/>
  <c r="L36" i="8" s="1"/>
  <c r="G36" i="8"/>
  <c r="F36" i="8"/>
  <c r="E36" i="8"/>
  <c r="D36" i="8"/>
  <c r="C36" i="8"/>
  <c r="I35" i="8"/>
  <c r="G35" i="8"/>
  <c r="F35" i="8"/>
  <c r="E35" i="8"/>
  <c r="D35" i="8"/>
  <c r="C35" i="8"/>
  <c r="G34" i="8"/>
  <c r="F34" i="8"/>
  <c r="E34" i="8"/>
  <c r="D34" i="8"/>
  <c r="C34" i="8"/>
  <c r="G33" i="8"/>
  <c r="F33" i="8"/>
  <c r="E33" i="8"/>
  <c r="D33" i="8"/>
  <c r="C33" i="8"/>
  <c r="G32" i="8"/>
  <c r="F32" i="8"/>
  <c r="E32" i="8"/>
  <c r="D32" i="8"/>
  <c r="C32" i="8"/>
  <c r="K31" i="8"/>
  <c r="G31" i="8"/>
  <c r="F31" i="8"/>
  <c r="E31" i="8"/>
  <c r="D31" i="8"/>
  <c r="C31" i="8"/>
  <c r="I30" i="8"/>
  <c r="G30" i="8"/>
  <c r="F30" i="8"/>
  <c r="E30" i="8"/>
  <c r="D30" i="8"/>
  <c r="C30" i="8"/>
  <c r="K29" i="8"/>
  <c r="I29" i="8"/>
  <c r="L29" i="8" s="1"/>
  <c r="G29" i="8"/>
  <c r="F29" i="8"/>
  <c r="E29" i="8"/>
  <c r="D29" i="8"/>
  <c r="C29" i="8"/>
  <c r="I28" i="8"/>
  <c r="G28" i="8"/>
  <c r="F28" i="8"/>
  <c r="E28" i="8"/>
  <c r="D28" i="8"/>
  <c r="C28" i="8"/>
  <c r="G27" i="8"/>
  <c r="F27" i="8"/>
  <c r="E27" i="8"/>
  <c r="D27" i="8"/>
  <c r="C27" i="8"/>
  <c r="G26" i="8"/>
  <c r="F26" i="8"/>
  <c r="E26" i="8"/>
  <c r="D26" i="8"/>
  <c r="C26" i="8"/>
  <c r="G25" i="8"/>
  <c r="F25" i="8"/>
  <c r="E25" i="8"/>
  <c r="D25" i="8"/>
  <c r="C25" i="8"/>
  <c r="K24" i="8"/>
  <c r="L24" i="8" s="1"/>
  <c r="I24" i="8"/>
  <c r="G24" i="8"/>
  <c r="F24" i="8"/>
  <c r="E24" i="8"/>
  <c r="D24" i="8"/>
  <c r="C24" i="8"/>
  <c r="I23" i="8"/>
  <c r="G23" i="8"/>
  <c r="F23" i="8"/>
  <c r="E23" i="8"/>
  <c r="D23" i="8"/>
  <c r="C23" i="8"/>
  <c r="K22" i="8"/>
  <c r="I22" i="8"/>
  <c r="L22" i="8" s="1"/>
  <c r="G22" i="8"/>
  <c r="F22" i="8"/>
  <c r="E22" i="8"/>
  <c r="D22" i="8"/>
  <c r="C22" i="8"/>
  <c r="I21" i="8"/>
  <c r="G21" i="8"/>
  <c r="F21" i="8"/>
  <c r="E21" i="8"/>
  <c r="D21" i="8"/>
  <c r="C21" i="8"/>
  <c r="G20" i="8"/>
  <c r="F20" i="8"/>
  <c r="E20" i="8"/>
  <c r="D20" i="8"/>
  <c r="C20" i="8"/>
  <c r="G19" i="8"/>
  <c r="F19" i="8"/>
  <c r="E19" i="8"/>
  <c r="D19" i="8"/>
  <c r="C19" i="8"/>
  <c r="G18" i="8"/>
  <c r="F18" i="8"/>
  <c r="E18" i="8"/>
  <c r="D18" i="8"/>
  <c r="C18" i="8"/>
  <c r="K17" i="8"/>
  <c r="L17" i="8" s="1"/>
  <c r="I17" i="8"/>
  <c r="G17" i="8"/>
  <c r="F17" i="8"/>
  <c r="E17" i="8"/>
  <c r="D17" i="8"/>
  <c r="C17" i="8"/>
  <c r="I16" i="8"/>
  <c r="G16" i="8"/>
  <c r="F16" i="8"/>
  <c r="E16" i="8"/>
  <c r="D16" i="8"/>
  <c r="C16" i="8"/>
  <c r="K15" i="8"/>
  <c r="I15" i="8"/>
  <c r="L15" i="8" s="1"/>
  <c r="G15" i="8"/>
  <c r="F15" i="8"/>
  <c r="E15" i="8"/>
  <c r="D15" i="8"/>
  <c r="C15" i="8"/>
  <c r="I14" i="8"/>
  <c r="G14" i="8"/>
  <c r="F14" i="8"/>
  <c r="E14" i="8"/>
  <c r="D14" i="8"/>
  <c r="C14" i="8"/>
  <c r="G13" i="8"/>
  <c r="F13" i="8"/>
  <c r="E13" i="8"/>
  <c r="D13" i="8"/>
  <c r="C13" i="8"/>
  <c r="G12" i="8"/>
  <c r="F12" i="8"/>
  <c r="E12" i="8"/>
  <c r="D12" i="8"/>
  <c r="C12" i="8"/>
  <c r="G11" i="8"/>
  <c r="F11" i="8"/>
  <c r="E11" i="8"/>
  <c r="D11" i="8"/>
  <c r="C11" i="8"/>
  <c r="K10" i="8"/>
  <c r="L10" i="8" s="1"/>
  <c r="I10" i="8"/>
  <c r="G10" i="8"/>
  <c r="F10" i="8"/>
  <c r="E10" i="8"/>
  <c r="D10" i="8"/>
  <c r="C10" i="8"/>
  <c r="I9" i="8"/>
  <c r="G9" i="8"/>
  <c r="G44" i="8" s="1"/>
  <c r="F9" i="8"/>
  <c r="F44" i="8" s="1"/>
  <c r="E9" i="8"/>
  <c r="E44" i="8" s="1"/>
  <c r="D9" i="8"/>
  <c r="D44" i="8" s="1"/>
  <c r="C9" i="8"/>
  <c r="C44" i="8" s="1"/>
  <c r="H6" i="8"/>
  <c r="I4" i="8"/>
  <c r="K39" i="8" s="1"/>
  <c r="B3" i="8"/>
  <c r="G33" i="7"/>
  <c r="B3" i="7"/>
  <c r="R44" i="6"/>
  <c r="J44" i="6"/>
  <c r="H44" i="6"/>
  <c r="G43" i="6"/>
  <c r="F43" i="6"/>
  <c r="E43" i="6"/>
  <c r="D43" i="6"/>
  <c r="C43" i="6"/>
  <c r="G42" i="6"/>
  <c r="F42" i="6"/>
  <c r="E42" i="6"/>
  <c r="D42" i="6"/>
  <c r="C42" i="6"/>
  <c r="G41" i="6"/>
  <c r="F41" i="6"/>
  <c r="E41" i="6"/>
  <c r="D41" i="6"/>
  <c r="C41" i="6"/>
  <c r="G40" i="6"/>
  <c r="F40" i="6"/>
  <c r="E40" i="6"/>
  <c r="D40" i="6"/>
  <c r="C40" i="6"/>
  <c r="G39" i="6"/>
  <c r="F39" i="6"/>
  <c r="E39" i="6"/>
  <c r="D39" i="6"/>
  <c r="C39" i="6"/>
  <c r="G38" i="6"/>
  <c r="F38" i="6"/>
  <c r="E38" i="6"/>
  <c r="D38" i="6"/>
  <c r="C38" i="6"/>
  <c r="G37" i="6"/>
  <c r="F37" i="6"/>
  <c r="E37" i="6"/>
  <c r="D37" i="6"/>
  <c r="C37" i="6"/>
  <c r="G36" i="6"/>
  <c r="F36" i="6"/>
  <c r="E36" i="6"/>
  <c r="D36" i="6"/>
  <c r="C36" i="6"/>
  <c r="G35" i="6"/>
  <c r="F35" i="6"/>
  <c r="E35" i="6"/>
  <c r="D35" i="6"/>
  <c r="C35" i="6"/>
  <c r="G34" i="6"/>
  <c r="F34" i="6"/>
  <c r="E34" i="6"/>
  <c r="D34" i="6"/>
  <c r="C34" i="6"/>
  <c r="G33" i="6"/>
  <c r="F33" i="6"/>
  <c r="E33" i="6"/>
  <c r="D33" i="6"/>
  <c r="C33" i="6"/>
  <c r="G32" i="6"/>
  <c r="F32" i="6"/>
  <c r="E32" i="6"/>
  <c r="D32" i="6"/>
  <c r="C32" i="6"/>
  <c r="G31" i="6"/>
  <c r="F31" i="6"/>
  <c r="E31" i="6"/>
  <c r="D31" i="6"/>
  <c r="C31" i="6"/>
  <c r="G30" i="6"/>
  <c r="F30" i="6"/>
  <c r="E30" i="6"/>
  <c r="D30" i="6"/>
  <c r="C30" i="6"/>
  <c r="G29" i="6"/>
  <c r="F29" i="6"/>
  <c r="E29" i="6"/>
  <c r="D29" i="6"/>
  <c r="C29" i="6"/>
  <c r="G28" i="6"/>
  <c r="F28" i="6"/>
  <c r="E28" i="6"/>
  <c r="D28" i="6"/>
  <c r="C28" i="6"/>
  <c r="G27" i="6"/>
  <c r="F27" i="6"/>
  <c r="E27" i="6"/>
  <c r="D27" i="6"/>
  <c r="C27" i="6"/>
  <c r="G26" i="6"/>
  <c r="F26" i="6"/>
  <c r="E26" i="6"/>
  <c r="D26" i="6"/>
  <c r="C26" i="6"/>
  <c r="G25" i="6"/>
  <c r="F25" i="6"/>
  <c r="E25" i="6"/>
  <c r="D25" i="6"/>
  <c r="C25" i="6"/>
  <c r="G24" i="6"/>
  <c r="F24" i="6"/>
  <c r="E24" i="6"/>
  <c r="D24" i="6"/>
  <c r="C24" i="6"/>
  <c r="G23" i="6"/>
  <c r="F23" i="6"/>
  <c r="E23" i="6"/>
  <c r="D23" i="6"/>
  <c r="C23" i="6"/>
  <c r="G22" i="6"/>
  <c r="F22" i="6"/>
  <c r="E22" i="6"/>
  <c r="D22" i="6"/>
  <c r="C22" i="6"/>
  <c r="G21" i="6"/>
  <c r="F21" i="6"/>
  <c r="E21" i="6"/>
  <c r="D21" i="6"/>
  <c r="C21" i="6"/>
  <c r="G20" i="6"/>
  <c r="F20" i="6"/>
  <c r="E20" i="6"/>
  <c r="D20" i="6"/>
  <c r="C20" i="6"/>
  <c r="G19" i="6"/>
  <c r="F19" i="6"/>
  <c r="E19" i="6"/>
  <c r="D19" i="6"/>
  <c r="C19" i="6"/>
  <c r="G18" i="6"/>
  <c r="F18" i="6"/>
  <c r="E18" i="6"/>
  <c r="D18" i="6"/>
  <c r="C18" i="6"/>
  <c r="G17" i="6"/>
  <c r="F17" i="6"/>
  <c r="E17" i="6"/>
  <c r="D17" i="6"/>
  <c r="C17" i="6"/>
  <c r="G16" i="6"/>
  <c r="F16" i="6"/>
  <c r="E16" i="6"/>
  <c r="D16" i="6"/>
  <c r="C16" i="6"/>
  <c r="G15" i="6"/>
  <c r="F15" i="6"/>
  <c r="E15" i="6"/>
  <c r="D15" i="6"/>
  <c r="C15" i="6"/>
  <c r="G14" i="6"/>
  <c r="F14" i="6"/>
  <c r="E14" i="6"/>
  <c r="D14" i="6"/>
  <c r="C14" i="6"/>
  <c r="G13" i="6"/>
  <c r="F13" i="6"/>
  <c r="E13" i="6"/>
  <c r="D13" i="6"/>
  <c r="C13" i="6"/>
  <c r="G12" i="6"/>
  <c r="F12" i="6"/>
  <c r="E12" i="6"/>
  <c r="D12" i="6"/>
  <c r="C12" i="6"/>
  <c r="G11" i="6"/>
  <c r="F11" i="6"/>
  <c r="E11" i="6"/>
  <c r="D11" i="6"/>
  <c r="C11" i="6"/>
  <c r="G10" i="6"/>
  <c r="F10" i="6"/>
  <c r="E10" i="6"/>
  <c r="D10" i="6"/>
  <c r="C10" i="6"/>
  <c r="G9" i="6"/>
  <c r="G44" i="6" s="1"/>
  <c r="F9" i="6"/>
  <c r="F44" i="6" s="1"/>
  <c r="E9" i="6"/>
  <c r="E44" i="6" s="1"/>
  <c r="D9" i="6"/>
  <c r="D44" i="6" s="1"/>
  <c r="C9" i="6"/>
  <c r="C44" i="6" s="1"/>
  <c r="L6" i="6"/>
  <c r="I4" i="6"/>
  <c r="B3" i="6"/>
  <c r="H6" i="6" s="1"/>
  <c r="J44" i="5"/>
  <c r="H44" i="5"/>
  <c r="K43" i="5"/>
  <c r="I43" i="5"/>
  <c r="G43" i="5"/>
  <c r="L43" i="5" s="1"/>
  <c r="F43" i="5"/>
  <c r="E43" i="5"/>
  <c r="D43" i="5"/>
  <c r="C43" i="5"/>
  <c r="K42" i="5"/>
  <c r="I42" i="5"/>
  <c r="G42" i="5"/>
  <c r="L42" i="5" s="1"/>
  <c r="F42" i="5"/>
  <c r="E42" i="5"/>
  <c r="D42" i="5"/>
  <c r="C42" i="5"/>
  <c r="K41" i="5"/>
  <c r="I41" i="5"/>
  <c r="G41" i="5"/>
  <c r="L41" i="5" s="1"/>
  <c r="F41" i="5"/>
  <c r="E41" i="5"/>
  <c r="D41" i="5"/>
  <c r="C41" i="5"/>
  <c r="K40" i="5"/>
  <c r="I40" i="5"/>
  <c r="G40" i="5"/>
  <c r="L40" i="5" s="1"/>
  <c r="F40" i="5"/>
  <c r="E40" i="5"/>
  <c r="D40" i="5"/>
  <c r="C40" i="5"/>
  <c r="K39" i="5"/>
  <c r="I39" i="5"/>
  <c r="G39" i="5"/>
  <c r="L39" i="5" s="1"/>
  <c r="F39" i="5"/>
  <c r="E39" i="5"/>
  <c r="D39" i="5"/>
  <c r="C39" i="5"/>
  <c r="K38" i="5"/>
  <c r="I38" i="5"/>
  <c r="G38" i="5"/>
  <c r="L38" i="5" s="1"/>
  <c r="F38" i="5"/>
  <c r="E38" i="5"/>
  <c r="D38" i="5"/>
  <c r="C38" i="5"/>
  <c r="L37" i="5"/>
  <c r="N37" i="5" s="1"/>
  <c r="K37" i="5"/>
  <c r="I37" i="5"/>
  <c r="G37" i="5"/>
  <c r="F37" i="5"/>
  <c r="E37" i="5"/>
  <c r="D37" i="5"/>
  <c r="C37" i="5"/>
  <c r="K36" i="5"/>
  <c r="I36" i="5"/>
  <c r="G36" i="5"/>
  <c r="L36" i="5" s="1"/>
  <c r="F36" i="5"/>
  <c r="E36" i="5"/>
  <c r="D36" i="5"/>
  <c r="C36" i="5"/>
  <c r="K35" i="5"/>
  <c r="L35" i="5" s="1"/>
  <c r="I35" i="5"/>
  <c r="G35" i="5"/>
  <c r="F35" i="5"/>
  <c r="E35" i="5"/>
  <c r="D35" i="5"/>
  <c r="C35" i="5"/>
  <c r="K34" i="5"/>
  <c r="I34" i="5"/>
  <c r="G34" i="5"/>
  <c r="L34" i="5" s="1"/>
  <c r="F34" i="5"/>
  <c r="E34" i="5"/>
  <c r="D34" i="5"/>
  <c r="C34" i="5"/>
  <c r="K33" i="5"/>
  <c r="I33" i="5"/>
  <c r="G33" i="5"/>
  <c r="L33" i="5" s="1"/>
  <c r="F33" i="5"/>
  <c r="E33" i="5"/>
  <c r="D33" i="5"/>
  <c r="C33" i="5"/>
  <c r="K32" i="5"/>
  <c r="I32" i="5"/>
  <c r="G32" i="5"/>
  <c r="F32" i="5"/>
  <c r="E32" i="5"/>
  <c r="D32" i="5"/>
  <c r="C32" i="5"/>
  <c r="K31" i="5"/>
  <c r="I31" i="5"/>
  <c r="G31" i="5"/>
  <c r="L31" i="5" s="1"/>
  <c r="F31" i="5"/>
  <c r="E31" i="5"/>
  <c r="D31" i="5"/>
  <c r="C31" i="5"/>
  <c r="K30" i="5"/>
  <c r="I30" i="5"/>
  <c r="G30" i="5"/>
  <c r="L30" i="5" s="1"/>
  <c r="N30" i="5" s="1"/>
  <c r="F30" i="5"/>
  <c r="E30" i="5"/>
  <c r="D30" i="5"/>
  <c r="C30" i="5"/>
  <c r="K29" i="5"/>
  <c r="I29" i="5"/>
  <c r="G29" i="5"/>
  <c r="L29" i="5" s="1"/>
  <c r="F29" i="5"/>
  <c r="E29" i="5"/>
  <c r="D29" i="5"/>
  <c r="C29" i="5"/>
  <c r="K28" i="5"/>
  <c r="I28" i="5"/>
  <c r="G28" i="5"/>
  <c r="F28" i="5"/>
  <c r="E28" i="5"/>
  <c r="D28" i="5"/>
  <c r="C28" i="5"/>
  <c r="K27" i="5"/>
  <c r="I27" i="5"/>
  <c r="G27" i="5"/>
  <c r="L27" i="5" s="1"/>
  <c r="F27" i="5"/>
  <c r="E27" i="5"/>
  <c r="D27" i="5"/>
  <c r="C27" i="5"/>
  <c r="K26" i="5"/>
  <c r="I26" i="5"/>
  <c r="G26" i="5"/>
  <c r="L26" i="5" s="1"/>
  <c r="F26" i="5"/>
  <c r="E26" i="5"/>
  <c r="D26" i="5"/>
  <c r="C26" i="5"/>
  <c r="K25" i="5"/>
  <c r="L25" i="5" s="1"/>
  <c r="I25" i="5"/>
  <c r="G25" i="5"/>
  <c r="F25" i="5"/>
  <c r="E25" i="5"/>
  <c r="D25" i="5"/>
  <c r="C25" i="5"/>
  <c r="K24" i="5"/>
  <c r="I24" i="5"/>
  <c r="G24" i="5"/>
  <c r="L24" i="5" s="1"/>
  <c r="F24" i="5"/>
  <c r="E24" i="5"/>
  <c r="D24" i="5"/>
  <c r="C24" i="5"/>
  <c r="L23" i="5"/>
  <c r="N23" i="5" s="1"/>
  <c r="K23" i="5"/>
  <c r="I23" i="5"/>
  <c r="G23" i="5"/>
  <c r="F23" i="5"/>
  <c r="E23" i="5"/>
  <c r="D23" i="5"/>
  <c r="C23" i="5"/>
  <c r="K22" i="5"/>
  <c r="I22" i="5"/>
  <c r="G22" i="5"/>
  <c r="L22" i="5" s="1"/>
  <c r="F22" i="5"/>
  <c r="E22" i="5"/>
  <c r="D22" i="5"/>
  <c r="C22" i="5"/>
  <c r="K21" i="5"/>
  <c r="I21" i="5"/>
  <c r="G21" i="5"/>
  <c r="F21" i="5"/>
  <c r="E21" i="5"/>
  <c r="D21" i="5"/>
  <c r="C21" i="5"/>
  <c r="K20" i="5"/>
  <c r="I20" i="5"/>
  <c r="G20" i="5"/>
  <c r="L20" i="5" s="1"/>
  <c r="F20" i="5"/>
  <c r="E20" i="5"/>
  <c r="D20" i="5"/>
  <c r="C20" i="5"/>
  <c r="K19" i="5"/>
  <c r="I19" i="5"/>
  <c r="G19" i="5"/>
  <c r="L19" i="5" s="1"/>
  <c r="F19" i="5"/>
  <c r="E19" i="5"/>
  <c r="D19" i="5"/>
  <c r="C19" i="5"/>
  <c r="K18" i="5"/>
  <c r="I18" i="5"/>
  <c r="G18" i="5"/>
  <c r="F18" i="5"/>
  <c r="E18" i="5"/>
  <c r="D18" i="5"/>
  <c r="C18" i="5"/>
  <c r="K17" i="5"/>
  <c r="I17" i="5"/>
  <c r="G17" i="5"/>
  <c r="L17" i="5" s="1"/>
  <c r="F17" i="5"/>
  <c r="E17" i="5"/>
  <c r="D17" i="5"/>
  <c r="C17" i="5"/>
  <c r="K16" i="5"/>
  <c r="I16" i="5"/>
  <c r="G16" i="5"/>
  <c r="L16" i="5" s="1"/>
  <c r="N16" i="5" s="1"/>
  <c r="F16" i="5"/>
  <c r="E16" i="5"/>
  <c r="D16" i="5"/>
  <c r="C16" i="5"/>
  <c r="K15" i="5"/>
  <c r="I15" i="5"/>
  <c r="G15" i="5"/>
  <c r="L15" i="5" s="1"/>
  <c r="F15" i="5"/>
  <c r="E15" i="5"/>
  <c r="D15" i="5"/>
  <c r="C15" i="5"/>
  <c r="K14" i="5"/>
  <c r="I14" i="5"/>
  <c r="G14" i="5"/>
  <c r="F14" i="5"/>
  <c r="E14" i="5"/>
  <c r="D14" i="5"/>
  <c r="C14" i="5"/>
  <c r="K13" i="5"/>
  <c r="I13" i="5"/>
  <c r="G13" i="5"/>
  <c r="L13" i="5" s="1"/>
  <c r="F13" i="5"/>
  <c r="E13" i="5"/>
  <c r="D13" i="5"/>
  <c r="C13" i="5"/>
  <c r="K12" i="5"/>
  <c r="I12" i="5"/>
  <c r="G12" i="5"/>
  <c r="L12" i="5" s="1"/>
  <c r="F12" i="5"/>
  <c r="E12" i="5"/>
  <c r="D12" i="5"/>
  <c r="C12" i="5"/>
  <c r="K11" i="5"/>
  <c r="I11" i="5"/>
  <c r="G11" i="5"/>
  <c r="F11" i="5"/>
  <c r="E11" i="5"/>
  <c r="D11" i="5"/>
  <c r="C11" i="5"/>
  <c r="K10" i="5"/>
  <c r="I10" i="5"/>
  <c r="G10" i="5"/>
  <c r="L10" i="5" s="1"/>
  <c r="F10" i="5"/>
  <c r="E10" i="5"/>
  <c r="D10" i="5"/>
  <c r="C10" i="5"/>
  <c r="K9" i="5"/>
  <c r="K44" i="5" s="1"/>
  <c r="I9" i="5"/>
  <c r="I44" i="5" s="1"/>
  <c r="G9" i="5"/>
  <c r="L9" i="5" s="1"/>
  <c r="F9" i="5"/>
  <c r="E9" i="5"/>
  <c r="D9" i="5"/>
  <c r="C9" i="5"/>
  <c r="B3" i="5"/>
  <c r="H6" i="5" s="1"/>
  <c r="J44" i="4"/>
  <c r="I44" i="4"/>
  <c r="H44" i="4"/>
  <c r="G44" i="4"/>
  <c r="F44" i="4"/>
  <c r="D43" i="4"/>
  <c r="D42" i="4"/>
  <c r="D40" i="4"/>
  <c r="D39" i="4"/>
  <c r="D38" i="4"/>
  <c r="D37" i="4"/>
  <c r="D36" i="4"/>
  <c r="D35" i="4"/>
  <c r="D31" i="4"/>
  <c r="D30" i="4"/>
  <c r="D29" i="4"/>
  <c r="D28" i="4"/>
  <c r="D26" i="4"/>
  <c r="D25" i="4"/>
  <c r="D24" i="4"/>
  <c r="D23" i="4"/>
  <c r="D22" i="4"/>
  <c r="D21" i="4"/>
  <c r="D17" i="4"/>
  <c r="D16" i="4"/>
  <c r="D15" i="4"/>
  <c r="D14" i="4"/>
  <c r="D12" i="4"/>
  <c r="D11" i="4"/>
  <c r="D10" i="4"/>
  <c r="D9" i="4"/>
  <c r="D8" i="4"/>
  <c r="B3" i="4"/>
  <c r="D34" i="4" s="1"/>
  <c r="G2" i="4"/>
  <c r="J44" i="3"/>
  <c r="I44" i="3"/>
  <c r="H44" i="3"/>
  <c r="G44" i="3"/>
  <c r="F44" i="3"/>
  <c r="D43" i="3"/>
  <c r="D42" i="3"/>
  <c r="D41" i="3"/>
  <c r="D40" i="3"/>
  <c r="D39" i="3"/>
  <c r="D38" i="3"/>
  <c r="D37" i="3"/>
  <c r="D36" i="3"/>
  <c r="D35" i="3"/>
  <c r="D31" i="3"/>
  <c r="D30" i="3"/>
  <c r="D29" i="3"/>
  <c r="D28" i="3"/>
  <c r="D27" i="3"/>
  <c r="D26" i="3"/>
  <c r="D25" i="3"/>
  <c r="D24" i="3"/>
  <c r="D23" i="3"/>
  <c r="D22" i="3"/>
  <c r="D21" i="3"/>
  <c r="D17" i="3"/>
  <c r="D16" i="3"/>
  <c r="D15" i="3"/>
  <c r="D14" i="3"/>
  <c r="D13" i="3"/>
  <c r="D12" i="3"/>
  <c r="D11" i="3"/>
  <c r="D10" i="3"/>
  <c r="D9" i="3"/>
  <c r="D8" i="3"/>
  <c r="B3" i="3"/>
  <c r="D34" i="3" s="1"/>
  <c r="G2" i="3"/>
  <c r="J44" i="1"/>
  <c r="I44" i="1"/>
  <c r="H44" i="1"/>
  <c r="G44" i="1"/>
  <c r="F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L21" i="5" l="1"/>
  <c r="C44" i="5"/>
  <c r="D44" i="5"/>
  <c r="L28" i="5"/>
  <c r="E44" i="5"/>
  <c r="L32" i="5"/>
  <c r="N32" i="5" s="1"/>
  <c r="F44" i="5"/>
  <c r="L14" i="5"/>
  <c r="N14" i="5" s="1"/>
  <c r="L18" i="5"/>
  <c r="N18" i="5" s="1"/>
  <c r="L11" i="5"/>
  <c r="L44" i="5" s="1"/>
  <c r="D69" i="11" a="1"/>
  <c r="D69" i="11" s="1"/>
  <c r="D63" i="11" a="1"/>
  <c r="D63" i="11" s="1"/>
  <c r="D68" i="11" a="1"/>
  <c r="D68" i="11" s="1"/>
  <c r="D62" i="11" a="1"/>
  <c r="D62" i="11" s="1"/>
  <c r="D56" i="11" a="1"/>
  <c r="D56" i="11" s="1"/>
  <c r="E65" i="11" a="1"/>
  <c r="E65" i="11" s="1"/>
  <c r="E66" i="11" a="1"/>
  <c r="E66" i="11" s="1"/>
  <c r="C66" i="11" a="1"/>
  <c r="C66" i="11" s="1"/>
  <c r="D66" i="11" a="1"/>
  <c r="D66" i="11" s="1"/>
  <c r="C62" i="11" a="1"/>
  <c r="C62" i="11" s="1"/>
  <c r="F62" i="11" s="1"/>
  <c r="C58" i="11" a="1"/>
  <c r="C58" i="11" s="1"/>
  <c r="C69" i="11" a="1"/>
  <c r="C69" i="11" s="1"/>
  <c r="C63" i="11" a="1"/>
  <c r="C63" i="11" s="1"/>
  <c r="F63" i="11" s="1"/>
  <c r="C72" i="11" a="1"/>
  <c r="C72" i="11" s="1"/>
  <c r="F72" i="11" s="1"/>
  <c r="C56" i="11" a="1"/>
  <c r="C56" i="11" s="1"/>
  <c r="F56" i="11" s="1"/>
  <c r="C52" i="11" a="1"/>
  <c r="C52" i="11" s="1"/>
  <c r="C68" i="11" a="1"/>
  <c r="C68" i="11" s="1"/>
  <c r="C70" i="11" a="1"/>
  <c r="C70" i="11" s="1"/>
  <c r="E59" i="11" a="1"/>
  <c r="E59" i="11" s="1"/>
  <c r="D59" i="11" a="1"/>
  <c r="D59" i="11" s="1"/>
  <c r="C59" i="11" a="1"/>
  <c r="C59" i="11" s="1"/>
  <c r="C60" i="11" a="1"/>
  <c r="C60" i="11" s="1"/>
  <c r="E60" i="11" a="1"/>
  <c r="E60" i="11" s="1"/>
  <c r="D60" i="11" a="1"/>
  <c r="D60" i="11" s="1"/>
  <c r="D57" i="11" a="1"/>
  <c r="D57" i="11" s="1"/>
  <c r="E57" i="11" a="1"/>
  <c r="E57" i="11" s="1"/>
  <c r="C57" i="11" a="1"/>
  <c r="C57" i="11" s="1"/>
  <c r="F57" i="11" s="1"/>
  <c r="E58" i="11" a="1"/>
  <c r="E58" i="11" s="1"/>
  <c r="D67" i="11" a="1"/>
  <c r="D67" i="11" s="1"/>
  <c r="E72" i="11" a="1"/>
  <c r="E72" i="11" s="1"/>
  <c r="E55" i="11" a="1"/>
  <c r="E55" i="11" s="1"/>
  <c r="D55" i="11" a="1"/>
  <c r="D55" i="11" s="1"/>
  <c r="C55" i="11" a="1"/>
  <c r="C55" i="11" s="1"/>
  <c r="J6" i="11" a="1"/>
  <c r="J6" i="11" s="1"/>
  <c r="D51" i="11" a="1"/>
  <c r="D51" i="11" s="1"/>
  <c r="F75" i="11"/>
  <c r="E51" i="11" a="1"/>
  <c r="E51" i="11" s="1"/>
  <c r="G33" i="11"/>
  <c r="C51" i="11" a="1"/>
  <c r="C51" i="11" s="1"/>
  <c r="E61" i="11" a="1"/>
  <c r="E61" i="11" s="1"/>
  <c r="E52" i="11" a="1"/>
  <c r="E52" i="11" s="1"/>
  <c r="E53" i="11" a="1"/>
  <c r="E53" i="11" s="1"/>
  <c r="D53" i="11" a="1"/>
  <c r="D53" i="11" s="1"/>
  <c r="C53" i="11" a="1"/>
  <c r="C53" i="11" s="1"/>
  <c r="C64" i="11" a="1"/>
  <c r="C64" i="11" s="1"/>
  <c r="F64" i="11" s="1"/>
  <c r="E64" i="11" a="1"/>
  <c r="E64" i="11" s="1"/>
  <c r="D64" i="11" a="1"/>
  <c r="D64" i="11" s="1"/>
  <c r="E68" i="11" a="1"/>
  <c r="E68" i="11" s="1"/>
  <c r="E69" i="11" a="1"/>
  <c r="E69" i="11" s="1"/>
  <c r="E63" i="11" a="1"/>
  <c r="E63" i="11" s="1"/>
  <c r="E62" i="11" a="1"/>
  <c r="E62" i="11" s="1"/>
  <c r="E56" i="11" a="1"/>
  <c r="E56" i="11" s="1"/>
  <c r="E54" i="11" a="1"/>
  <c r="E54" i="11" s="1"/>
  <c r="C54" i="11" a="1"/>
  <c r="C54" i="11" s="1"/>
  <c r="D54" i="11" a="1"/>
  <c r="D54" i="11" s="1"/>
  <c r="E70" i="11" a="1"/>
  <c r="E70" i="11" s="1"/>
  <c r="E71" i="11" a="1"/>
  <c r="E71" i="11" s="1"/>
  <c r="D71" i="11" a="1"/>
  <c r="D71" i="11" s="1"/>
  <c r="C71" i="11" a="1"/>
  <c r="C71" i="11" s="1"/>
  <c r="D52" i="11" a="1"/>
  <c r="D52" i="11" s="1"/>
  <c r="D58" i="11" a="1"/>
  <c r="D58" i="11" s="1"/>
  <c r="D70" i="11" a="1"/>
  <c r="D70" i="11" s="1"/>
  <c r="D72" i="11" a="1"/>
  <c r="D72" i="11" s="1"/>
  <c r="C43" i="11"/>
  <c r="C61" i="11" a="1"/>
  <c r="C61" i="11" s="1"/>
  <c r="C65" i="11" a="1"/>
  <c r="C65" i="11" s="1"/>
  <c r="C67" i="11" a="1"/>
  <c r="C67" i="11" s="1"/>
  <c r="D61" i="11" a="1"/>
  <c r="D61" i="11" s="1"/>
  <c r="D65" i="11" a="1"/>
  <c r="D65" i="11" s="1"/>
  <c r="E67" i="11" a="1"/>
  <c r="E67" i="11" s="1"/>
  <c r="N29" i="10"/>
  <c r="M29" i="10"/>
  <c r="N22" i="10"/>
  <c r="M22" i="10"/>
  <c r="L27" i="10"/>
  <c r="L42" i="10"/>
  <c r="N15" i="10"/>
  <c r="M15" i="10"/>
  <c r="L20" i="10"/>
  <c r="L33" i="10"/>
  <c r="L16" i="10"/>
  <c r="N43" i="10"/>
  <c r="M43" i="10"/>
  <c r="N36" i="10"/>
  <c r="M36" i="10"/>
  <c r="M9" i="10"/>
  <c r="N9" i="10"/>
  <c r="L14" i="10"/>
  <c r="L19" i="10"/>
  <c r="I10" i="10"/>
  <c r="L10" i="10" s="1"/>
  <c r="I17" i="10"/>
  <c r="L17" i="10" s="1"/>
  <c r="I24" i="10"/>
  <c r="L24" i="10" s="1"/>
  <c r="I31" i="10"/>
  <c r="L31" i="10" s="1"/>
  <c r="I38" i="10"/>
  <c r="L38" i="10" s="1"/>
  <c r="K16" i="10"/>
  <c r="K23" i="10"/>
  <c r="L23" i="10" s="1"/>
  <c r="K30" i="10"/>
  <c r="L30" i="10" s="1"/>
  <c r="K37" i="10"/>
  <c r="L37" i="10" s="1"/>
  <c r="G44" i="10"/>
  <c r="K14" i="10"/>
  <c r="K21" i="10"/>
  <c r="L21" i="10" s="1"/>
  <c r="K28" i="10"/>
  <c r="L28" i="10" s="1"/>
  <c r="K35" i="10"/>
  <c r="L35" i="10" s="1"/>
  <c r="K42" i="10"/>
  <c r="I13" i="10"/>
  <c r="I20" i="10"/>
  <c r="I27" i="10"/>
  <c r="I34" i="10"/>
  <c r="L34" i="10" s="1"/>
  <c r="I41" i="10"/>
  <c r="L41" i="10" s="1"/>
  <c r="K13" i="10"/>
  <c r="L13" i="10" s="1"/>
  <c r="K20" i="10"/>
  <c r="K27" i="10"/>
  <c r="K34" i="10"/>
  <c r="K41" i="10"/>
  <c r="I12" i="10"/>
  <c r="L12" i="10" s="1"/>
  <c r="I19" i="10"/>
  <c r="I26" i="10"/>
  <c r="L26" i="10" s="1"/>
  <c r="I33" i="10"/>
  <c r="I40" i="10"/>
  <c r="K12" i="10"/>
  <c r="K19" i="10"/>
  <c r="K26" i="10"/>
  <c r="K33" i="10"/>
  <c r="K40" i="10"/>
  <c r="L40" i="10" s="1"/>
  <c r="I11" i="10"/>
  <c r="I44" i="10" s="1"/>
  <c r="I18" i="10"/>
  <c r="L18" i="10" s="1"/>
  <c r="I25" i="10"/>
  <c r="L25" i="10" s="1"/>
  <c r="I32" i="10"/>
  <c r="L32" i="10" s="1"/>
  <c r="I39" i="10"/>
  <c r="L39" i="10" s="1"/>
  <c r="K11" i="10"/>
  <c r="K44" i="10" s="1"/>
  <c r="K18" i="10"/>
  <c r="K25" i="10"/>
  <c r="K32" i="10"/>
  <c r="M55" i="9" a="1"/>
  <c r="M55" i="9" s="1"/>
  <c r="F55" i="9" a="1"/>
  <c r="F55" i="9" s="1"/>
  <c r="N55" i="9" a="1"/>
  <c r="N55" i="9" s="1"/>
  <c r="N57" i="9" a="1"/>
  <c r="N57" i="9" s="1"/>
  <c r="G60" i="9" a="1"/>
  <c r="G60" i="9" s="1"/>
  <c r="K54" i="9" a="1"/>
  <c r="K54" i="9" s="1"/>
  <c r="D54" i="9" a="1"/>
  <c r="D54" i="9" s="1"/>
  <c r="J54" i="9" a="1"/>
  <c r="J54" i="9" s="1"/>
  <c r="C54" i="9" a="1"/>
  <c r="C54" i="9" s="1"/>
  <c r="E54" i="9" a="1"/>
  <c r="E54" i="9" s="1"/>
  <c r="M62" i="9" a="1"/>
  <c r="M62" i="9" s="1"/>
  <c r="F62" i="9" a="1"/>
  <c r="F62" i="9" s="1"/>
  <c r="C62" i="9" a="1"/>
  <c r="C62" i="9" s="1"/>
  <c r="K62" i="9" a="1"/>
  <c r="K62" i="9" s="1"/>
  <c r="L62" i="9" a="1"/>
  <c r="L62" i="9" s="1"/>
  <c r="N63" i="9" a="1"/>
  <c r="N63" i="9" s="1"/>
  <c r="G63" i="9" a="1"/>
  <c r="G63" i="9" s="1"/>
  <c r="M63" i="9" a="1"/>
  <c r="M63" i="9" s="1"/>
  <c r="F63" i="9" a="1"/>
  <c r="F63" i="9" s="1"/>
  <c r="K63" i="9" a="1"/>
  <c r="K63" i="9" s="1"/>
  <c r="F53" i="9" a="1"/>
  <c r="F53" i="9" s="1"/>
  <c r="L53" i="9" a="1"/>
  <c r="L53" i="9" s="1"/>
  <c r="E53" i="9" a="1"/>
  <c r="E53" i="9" s="1"/>
  <c r="D53" i="9" a="1"/>
  <c r="D53" i="9" s="1"/>
  <c r="I53" i="9" a="1"/>
  <c r="I53" i="9" s="1"/>
  <c r="H51" i="9" a="1"/>
  <c r="H51" i="9" s="1"/>
  <c r="I51" i="9" a="1"/>
  <c r="I51" i="9" s="1"/>
  <c r="M51" i="9" a="1"/>
  <c r="M51" i="9" s="1"/>
  <c r="N51" i="9" a="1"/>
  <c r="N51" i="9" s="1"/>
  <c r="G51" i="9" a="1"/>
  <c r="G51" i="9" s="1"/>
  <c r="D58" i="9" a="1"/>
  <c r="D58" i="9" s="1"/>
  <c r="M58" i="9" a="1"/>
  <c r="M58" i="9" s="1"/>
  <c r="F58" i="9" a="1"/>
  <c r="F58" i="9" s="1"/>
  <c r="E58" i="9" a="1"/>
  <c r="E58" i="9" s="1"/>
  <c r="J58" i="9" a="1"/>
  <c r="J58" i="9" s="1"/>
  <c r="C58" i="9" a="1"/>
  <c r="C58" i="9" s="1"/>
  <c r="G8" i="9"/>
  <c r="G55" i="9" s="1" a="1"/>
  <c r="G55" i="9" s="1"/>
  <c r="I57" i="9" a="1"/>
  <c r="I57" i="9" s="1"/>
  <c r="E59" i="9" a="1"/>
  <c r="E59" i="9" s="1"/>
  <c r="L59" i="9" a="1"/>
  <c r="L59" i="9" s="1"/>
  <c r="H61" i="9" a="1"/>
  <c r="H61" i="9" s="1"/>
  <c r="H57" i="9" a="1"/>
  <c r="H57" i="9" s="1"/>
  <c r="C57" i="9" a="1"/>
  <c r="C57" i="9" s="1"/>
  <c r="D52" i="9" a="1"/>
  <c r="D52" i="9" s="1"/>
  <c r="K52" i="9" a="1"/>
  <c r="K52" i="9" s="1"/>
  <c r="C56" i="9" a="1"/>
  <c r="C56" i="9" s="1"/>
  <c r="J56" i="9" a="1"/>
  <c r="J56" i="9" s="1"/>
  <c r="I60" i="9" a="1"/>
  <c r="I60" i="9" s="1"/>
  <c r="K56" i="9" a="1"/>
  <c r="K56" i="9" s="1"/>
  <c r="C60" i="9" a="1"/>
  <c r="C60" i="9" s="1"/>
  <c r="J60" i="9" a="1"/>
  <c r="J60" i="9" s="1"/>
  <c r="F57" i="9" a="1"/>
  <c r="F57" i="9" s="1"/>
  <c r="M57" i="9" a="1"/>
  <c r="M57" i="9" s="1"/>
  <c r="I59" i="9" a="1"/>
  <c r="I59" i="9" s="1"/>
  <c r="F61" i="9" a="1"/>
  <c r="F61" i="9" s="1"/>
  <c r="N22" i="8"/>
  <c r="M22" i="8"/>
  <c r="N15" i="8"/>
  <c r="M15" i="8"/>
  <c r="N10" i="8"/>
  <c r="M10" i="8"/>
  <c r="L20" i="8"/>
  <c r="L13" i="8"/>
  <c r="L30" i="8"/>
  <c r="L23" i="8"/>
  <c r="L28" i="8"/>
  <c r="N29" i="8"/>
  <c r="M29" i="8"/>
  <c r="N24" i="8"/>
  <c r="M24" i="8"/>
  <c r="N17" i="8"/>
  <c r="M17" i="8"/>
  <c r="L16" i="8"/>
  <c r="N43" i="8"/>
  <c r="M43" i="8"/>
  <c r="N36" i="8"/>
  <c r="M36" i="8"/>
  <c r="L41" i="8"/>
  <c r="I31" i="8"/>
  <c r="L31" i="8" s="1"/>
  <c r="I38" i="8"/>
  <c r="L38" i="8" s="1"/>
  <c r="K9" i="8"/>
  <c r="K16" i="8"/>
  <c r="K23" i="8"/>
  <c r="K30" i="8"/>
  <c r="K37" i="8"/>
  <c r="L37" i="8" s="1"/>
  <c r="K14" i="8"/>
  <c r="L14" i="8" s="1"/>
  <c r="K21" i="8"/>
  <c r="L21" i="8" s="1"/>
  <c r="K28" i="8"/>
  <c r="K35" i="8"/>
  <c r="L35" i="8" s="1"/>
  <c r="K42" i="8"/>
  <c r="L42" i="8" s="1"/>
  <c r="I13" i="8"/>
  <c r="I20" i="8"/>
  <c r="I27" i="8"/>
  <c r="L27" i="8" s="1"/>
  <c r="I34" i="8"/>
  <c r="I41" i="8"/>
  <c r="K20" i="8"/>
  <c r="K27" i="8"/>
  <c r="K34" i="8"/>
  <c r="L34" i="8" s="1"/>
  <c r="K41" i="8"/>
  <c r="I12" i="8"/>
  <c r="L12" i="8" s="1"/>
  <c r="I19" i="8"/>
  <c r="L19" i="8" s="1"/>
  <c r="I26" i="8"/>
  <c r="L26" i="8" s="1"/>
  <c r="I33" i="8"/>
  <c r="L33" i="8" s="1"/>
  <c r="I40" i="8"/>
  <c r="L40" i="8" s="1"/>
  <c r="K13" i="8"/>
  <c r="K12" i="8"/>
  <c r="K19" i="8"/>
  <c r="K26" i="8"/>
  <c r="K33" i="8"/>
  <c r="K40" i="8"/>
  <c r="I11" i="8"/>
  <c r="I18" i="8"/>
  <c r="I25" i="8"/>
  <c r="I32" i="8"/>
  <c r="L32" i="8" s="1"/>
  <c r="I39" i="8"/>
  <c r="L39" i="8" s="1"/>
  <c r="K11" i="8"/>
  <c r="K18" i="8"/>
  <c r="K25" i="8"/>
  <c r="K32" i="8"/>
  <c r="I43" i="6"/>
  <c r="I42" i="6"/>
  <c r="I41" i="6"/>
  <c r="I40" i="6"/>
  <c r="I39" i="6"/>
  <c r="I38" i="6"/>
  <c r="I37" i="6"/>
  <c r="M37" i="6" s="1"/>
  <c r="I36" i="6"/>
  <c r="M36" i="6" s="1"/>
  <c r="I35" i="6"/>
  <c r="M35" i="6" s="1"/>
  <c r="I34" i="6"/>
  <c r="M34" i="6" s="1"/>
  <c r="I33" i="6"/>
  <c r="M33" i="6" s="1"/>
  <c r="I32" i="6"/>
  <c r="M32" i="6" s="1"/>
  <c r="I31" i="6"/>
  <c r="M31" i="6" s="1"/>
  <c r="I30" i="6"/>
  <c r="I29" i="6"/>
  <c r="I28" i="6"/>
  <c r="I27" i="6"/>
  <c r="I26" i="6"/>
  <c r="I25" i="6"/>
  <c r="I24" i="6"/>
  <c r="I23" i="6"/>
  <c r="M23" i="6" s="1"/>
  <c r="I22" i="6"/>
  <c r="M22" i="6" s="1"/>
  <c r="I21" i="6"/>
  <c r="M21" i="6" s="1"/>
  <c r="I20" i="6"/>
  <c r="M20" i="6" s="1"/>
  <c r="I19" i="6"/>
  <c r="M19" i="6" s="1"/>
  <c r="I18" i="6"/>
  <c r="M18" i="6" s="1"/>
  <c r="I17" i="6"/>
  <c r="M17" i="6" s="1"/>
  <c r="I16" i="6"/>
  <c r="I15" i="6"/>
  <c r="I14" i="6"/>
  <c r="I13" i="6"/>
  <c r="M13" i="6" s="1"/>
  <c r="I12" i="6"/>
  <c r="M12" i="6" s="1"/>
  <c r="I11" i="6"/>
  <c r="I10" i="6"/>
  <c r="M10" i="6" s="1"/>
  <c r="I9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M16" i="6" s="1"/>
  <c r="K15" i="6"/>
  <c r="M15" i="6" s="1"/>
  <c r="K14" i="6"/>
  <c r="M14" i="6" s="1"/>
  <c r="K13" i="6"/>
  <c r="K12" i="6"/>
  <c r="K11" i="6"/>
  <c r="M11" i="6" s="1"/>
  <c r="K10" i="6"/>
  <c r="K9" i="6"/>
  <c r="M9" i="6"/>
  <c r="N34" i="5"/>
  <c r="M34" i="5"/>
  <c r="M40" i="5"/>
  <c r="N40" i="5"/>
  <c r="N24" i="5"/>
  <c r="M24" i="5"/>
  <c r="N26" i="5"/>
  <c r="M26" i="5"/>
  <c r="M36" i="5"/>
  <c r="N36" i="5"/>
  <c r="N28" i="5"/>
  <c r="M28" i="5"/>
  <c r="N42" i="5"/>
  <c r="M42" i="5"/>
  <c r="N9" i="5"/>
  <c r="M9" i="5"/>
  <c r="N13" i="5"/>
  <c r="M13" i="5"/>
  <c r="N15" i="5"/>
  <c r="M15" i="5"/>
  <c r="N19" i="5"/>
  <c r="M19" i="5"/>
  <c r="N27" i="5"/>
  <c r="M27" i="5"/>
  <c r="N29" i="5"/>
  <c r="M29" i="5"/>
  <c r="N21" i="5"/>
  <c r="M21" i="5"/>
  <c r="N31" i="5"/>
  <c r="M31" i="5"/>
  <c r="N33" i="5"/>
  <c r="M33" i="5"/>
  <c r="N25" i="5"/>
  <c r="M25" i="5"/>
  <c r="N39" i="5"/>
  <c r="M39" i="5"/>
  <c r="N43" i="5"/>
  <c r="M43" i="5"/>
  <c r="N35" i="5"/>
  <c r="M35" i="5"/>
  <c r="N10" i="5"/>
  <c r="M10" i="5"/>
  <c r="N12" i="5"/>
  <c r="M12" i="5"/>
  <c r="N38" i="5"/>
  <c r="M38" i="5"/>
  <c r="N17" i="5"/>
  <c r="M17" i="5"/>
  <c r="N41" i="5"/>
  <c r="M41" i="5"/>
  <c r="N20" i="5"/>
  <c r="M20" i="5"/>
  <c r="N22" i="5"/>
  <c r="M22" i="5"/>
  <c r="G44" i="5"/>
  <c r="M16" i="5"/>
  <c r="M23" i="5"/>
  <c r="M30" i="5"/>
  <c r="M37" i="5"/>
  <c r="D13" i="4"/>
  <c r="D27" i="4"/>
  <c r="D41" i="4"/>
  <c r="D18" i="4"/>
  <c r="D32" i="4"/>
  <c r="D19" i="4"/>
  <c r="D33" i="4"/>
  <c r="D20" i="4"/>
  <c r="D18" i="3"/>
  <c r="D32" i="3"/>
  <c r="D19" i="3"/>
  <c r="D33" i="3"/>
  <c r="D20" i="3"/>
  <c r="M11" i="5" l="1"/>
  <c r="M18" i="5"/>
  <c r="N11" i="5"/>
  <c r="M32" i="5"/>
  <c r="M14" i="5"/>
  <c r="M44" i="5" s="1"/>
  <c r="F61" i="11"/>
  <c r="E73" i="11"/>
  <c r="F60" i="11"/>
  <c r="F66" i="11"/>
  <c r="F67" i="11"/>
  <c r="F65" i="11"/>
  <c r="D73" i="11"/>
  <c r="F59" i="11"/>
  <c r="F69" i="11"/>
  <c r="F55" i="11"/>
  <c r="F54" i="11"/>
  <c r="F70" i="11"/>
  <c r="F51" i="11"/>
  <c r="C73" i="11"/>
  <c r="F71" i="11"/>
  <c r="F68" i="11"/>
  <c r="F58" i="11"/>
  <c r="F53" i="11"/>
  <c r="F52" i="11"/>
  <c r="N37" i="10"/>
  <c r="M37" i="10"/>
  <c r="N13" i="10"/>
  <c r="M13" i="10"/>
  <c r="N41" i="10"/>
  <c r="M41" i="10"/>
  <c r="N18" i="10"/>
  <c r="M18" i="10"/>
  <c r="M40" i="10"/>
  <c r="N40" i="10"/>
  <c r="N28" i="10"/>
  <c r="M28" i="10"/>
  <c r="M12" i="10"/>
  <c r="N12" i="10"/>
  <c r="M23" i="10"/>
  <c r="N23" i="10"/>
  <c r="N34" i="10"/>
  <c r="M34" i="10"/>
  <c r="M30" i="10"/>
  <c r="N30" i="10"/>
  <c r="M26" i="10"/>
  <c r="N26" i="10"/>
  <c r="N35" i="10"/>
  <c r="M35" i="10"/>
  <c r="N21" i="10"/>
  <c r="M21" i="10"/>
  <c r="N20" i="10"/>
  <c r="M20" i="10"/>
  <c r="N27" i="10"/>
  <c r="M27" i="10"/>
  <c r="M32" i="10"/>
  <c r="N32" i="10"/>
  <c r="N42" i="10"/>
  <c r="M42" i="10"/>
  <c r="M33" i="10"/>
  <c r="N33" i="10"/>
  <c r="N38" i="10"/>
  <c r="M38" i="10"/>
  <c r="L11" i="10"/>
  <c r="M25" i="10"/>
  <c r="N25" i="10"/>
  <c r="M31" i="10"/>
  <c r="N31" i="10"/>
  <c r="M19" i="10"/>
  <c r="N19" i="10"/>
  <c r="N14" i="10"/>
  <c r="M14" i="10"/>
  <c r="N24" i="10"/>
  <c r="M24" i="10"/>
  <c r="M39" i="10"/>
  <c r="N39" i="10"/>
  <c r="M16" i="10"/>
  <c r="N16" i="10"/>
  <c r="N17" i="10"/>
  <c r="M17" i="10"/>
  <c r="M10" i="10"/>
  <c r="N10" i="10"/>
  <c r="E63" i="9" a="1"/>
  <c r="E63" i="9" s="1"/>
  <c r="G54" i="9" a="1"/>
  <c r="G54" i="9" s="1"/>
  <c r="E55" i="9" a="1"/>
  <c r="E55" i="9" s="1"/>
  <c r="C59" i="9" a="1"/>
  <c r="C59" i="9" s="1"/>
  <c r="D56" i="9" a="1"/>
  <c r="D56" i="9" s="1"/>
  <c r="J61" i="9" a="1"/>
  <c r="J61" i="9" s="1"/>
  <c r="F60" i="9" a="1"/>
  <c r="F60" i="9" s="1"/>
  <c r="G58" i="9" a="1"/>
  <c r="G58" i="9" s="1"/>
  <c r="J51" i="9" a="1"/>
  <c r="J51" i="9" s="1"/>
  <c r="G53" i="9" a="1"/>
  <c r="G53" i="9" s="1"/>
  <c r="H63" i="9" a="1"/>
  <c r="H63" i="9" s="1"/>
  <c r="H64" i="9" s="1"/>
  <c r="D62" i="9" a="1"/>
  <c r="D62" i="9" s="1"/>
  <c r="O62" i="9" s="1"/>
  <c r="N54" i="9" a="1"/>
  <c r="N54" i="9" s="1"/>
  <c r="L55" i="9" a="1"/>
  <c r="L55" i="9" s="1"/>
  <c r="M53" i="9" a="1"/>
  <c r="M53" i="9" s="1"/>
  <c r="L60" i="9" a="1"/>
  <c r="L60" i="9" s="1"/>
  <c r="N58" i="9" a="1"/>
  <c r="N58" i="9" s="1"/>
  <c r="F51" i="9" a="1"/>
  <c r="F51" i="9" s="1"/>
  <c r="N53" i="9" a="1"/>
  <c r="N53" i="9" s="1"/>
  <c r="C63" i="9" a="1"/>
  <c r="C63" i="9" s="1"/>
  <c r="G62" i="9" a="1"/>
  <c r="G62" i="9" s="1"/>
  <c r="F54" i="9" a="1"/>
  <c r="F54" i="9" s="1"/>
  <c r="O54" i="9" s="1"/>
  <c r="C52" i="9" a="1"/>
  <c r="C52" i="9" s="1"/>
  <c r="O52" i="9" s="1"/>
  <c r="G33" i="9"/>
  <c r="O66" i="9"/>
  <c r="I52" i="9" a="1"/>
  <c r="I52" i="9" s="1"/>
  <c r="I64" i="9" s="1"/>
  <c r="I56" i="9" a="1"/>
  <c r="I56" i="9" s="1"/>
  <c r="H60" i="9" a="1"/>
  <c r="H60" i="9" s="1"/>
  <c r="N60" i="9" a="1"/>
  <c r="N60" i="9" s="1"/>
  <c r="H56" i="9" a="1"/>
  <c r="H56" i="9" s="1"/>
  <c r="N56" i="9" a="1"/>
  <c r="N56" i="9" s="1"/>
  <c r="H52" i="9" a="1"/>
  <c r="H52" i="9" s="1"/>
  <c r="J6" i="9" a="1"/>
  <c r="J6" i="9" s="1"/>
  <c r="G57" i="9" a="1"/>
  <c r="G57" i="9" s="1"/>
  <c r="C61" i="9" a="1"/>
  <c r="C61" i="9" s="1"/>
  <c r="E52" i="9" a="1"/>
  <c r="E52" i="9" s="1"/>
  <c r="N59" i="9" a="1"/>
  <c r="N59" i="9" s="1"/>
  <c r="E60" i="9" a="1"/>
  <c r="E60" i="9" s="1"/>
  <c r="H58" i="9" a="1"/>
  <c r="H58" i="9" s="1"/>
  <c r="D51" i="9" a="1"/>
  <c r="D51" i="9" s="1"/>
  <c r="K53" i="9" a="1"/>
  <c r="K53" i="9" s="1"/>
  <c r="L63" i="9" a="1"/>
  <c r="L63" i="9" s="1"/>
  <c r="N62" i="9" a="1"/>
  <c r="N62" i="9" s="1"/>
  <c r="H54" i="9" a="1"/>
  <c r="H54" i="9" s="1"/>
  <c r="H55" i="9" a="1"/>
  <c r="H55" i="9" s="1"/>
  <c r="C51" i="9" a="1"/>
  <c r="C51" i="9" s="1"/>
  <c r="L52" i="9" a="1"/>
  <c r="L52" i="9" s="1"/>
  <c r="E56" i="9" a="1"/>
  <c r="E56" i="9" s="1"/>
  <c r="O56" i="9" s="1"/>
  <c r="K61" i="9" a="1"/>
  <c r="K61" i="9" s="1"/>
  <c r="G59" i="9" a="1"/>
  <c r="G59" i="9" s="1"/>
  <c r="M56" i="9" a="1"/>
  <c r="M56" i="9" s="1"/>
  <c r="K58" i="9" a="1"/>
  <c r="K58" i="9" s="1"/>
  <c r="K51" i="9" a="1"/>
  <c r="K51" i="9" s="1"/>
  <c r="H53" i="9" a="1"/>
  <c r="H53" i="9" s="1"/>
  <c r="I63" i="9" a="1"/>
  <c r="I63" i="9" s="1"/>
  <c r="D59" i="9" a="1"/>
  <c r="D59" i="9" s="1"/>
  <c r="L54" i="9" a="1"/>
  <c r="L54" i="9" s="1"/>
  <c r="I55" i="9" a="1"/>
  <c r="I55" i="9" s="1"/>
  <c r="J62" i="9" a="1"/>
  <c r="J62" i="9" s="1"/>
  <c r="D60" i="9" a="1"/>
  <c r="D60" i="9" s="1"/>
  <c r="O60" i="9" s="1"/>
  <c r="F52" i="9" a="1"/>
  <c r="F52" i="9" s="1"/>
  <c r="D61" i="9" a="1"/>
  <c r="D61" i="9" s="1"/>
  <c r="K57" i="9" a="1"/>
  <c r="K57" i="9" s="1"/>
  <c r="F56" i="9" a="1"/>
  <c r="F56" i="9" s="1"/>
  <c r="L58" i="9" a="1"/>
  <c r="L58" i="9" s="1"/>
  <c r="E51" i="9" a="1"/>
  <c r="E51" i="9" s="1"/>
  <c r="J59" i="9" a="1"/>
  <c r="J59" i="9" s="1"/>
  <c r="F59" i="9" a="1"/>
  <c r="F59" i="9" s="1"/>
  <c r="K60" i="9" a="1"/>
  <c r="K60" i="9" s="1"/>
  <c r="M54" i="9" a="1"/>
  <c r="M54" i="9" s="1"/>
  <c r="C55" i="9" a="1"/>
  <c r="C55" i="9" s="1"/>
  <c r="O55" i="9" s="1"/>
  <c r="H59" i="9" a="1"/>
  <c r="H59" i="9" s="1"/>
  <c r="N52" i="9" a="1"/>
  <c r="N52" i="9" s="1"/>
  <c r="N64" i="9" s="1"/>
  <c r="M52" i="9" a="1"/>
  <c r="M52" i="9" s="1"/>
  <c r="M64" i="9" s="1"/>
  <c r="L51" i="9" a="1"/>
  <c r="L51" i="9" s="1"/>
  <c r="L64" i="9" s="1"/>
  <c r="K59" i="9" a="1"/>
  <c r="K59" i="9" s="1"/>
  <c r="H62" i="9" a="1"/>
  <c r="H62" i="9" s="1"/>
  <c r="M60" i="9" a="1"/>
  <c r="M60" i="9" s="1"/>
  <c r="I54" i="9" a="1"/>
  <c r="I54" i="9" s="1"/>
  <c r="J55" i="9" a="1"/>
  <c r="J55" i="9" s="1"/>
  <c r="D57" i="9" a="1"/>
  <c r="D57" i="9" s="1"/>
  <c r="O57" i="9" s="1"/>
  <c r="L57" i="9" a="1"/>
  <c r="L57" i="9" s="1"/>
  <c r="G61" i="9" a="1"/>
  <c r="G61" i="9" s="1"/>
  <c r="J52" i="9" a="1"/>
  <c r="J52" i="9" s="1"/>
  <c r="C53" i="9" a="1"/>
  <c r="C53" i="9" s="1"/>
  <c r="J63" i="9" a="1"/>
  <c r="J63" i="9" s="1"/>
  <c r="I62" i="9" a="1"/>
  <c r="I62" i="9" s="1"/>
  <c r="M59" i="9" a="1"/>
  <c r="M59" i="9" s="1"/>
  <c r="G52" i="9" a="1"/>
  <c r="G52" i="9" s="1"/>
  <c r="G64" i="9" s="1"/>
  <c r="D55" i="9" a="1"/>
  <c r="D55" i="9" s="1"/>
  <c r="I61" i="9" a="1"/>
  <c r="I61" i="9" s="1"/>
  <c r="L61" i="9" a="1"/>
  <c r="L61" i="9" s="1"/>
  <c r="J57" i="9" a="1"/>
  <c r="J57" i="9" s="1"/>
  <c r="E61" i="9" a="1"/>
  <c r="E61" i="9" s="1"/>
  <c r="E57" i="9" a="1"/>
  <c r="E57" i="9" s="1"/>
  <c r="N61" i="9" a="1"/>
  <c r="N61" i="9" s="1"/>
  <c r="I58" i="9" a="1"/>
  <c r="I58" i="9" s="1"/>
  <c r="O58" i="9" s="1"/>
  <c r="M61" i="9" a="1"/>
  <c r="M61" i="9" s="1"/>
  <c r="J53" i="9" a="1"/>
  <c r="J53" i="9" s="1"/>
  <c r="D63" i="9" a="1"/>
  <c r="D63" i="9" s="1"/>
  <c r="E62" i="9" a="1"/>
  <c r="E62" i="9" s="1"/>
  <c r="L56" i="9" a="1"/>
  <c r="L56" i="9" s="1"/>
  <c r="G56" i="9" a="1"/>
  <c r="G56" i="9" s="1"/>
  <c r="K55" i="9" a="1"/>
  <c r="K55" i="9" s="1"/>
  <c r="M26" i="8"/>
  <c r="N26" i="8"/>
  <c r="N27" i="8"/>
  <c r="M27" i="8"/>
  <c r="N42" i="8"/>
  <c r="M42" i="8"/>
  <c r="N35" i="8"/>
  <c r="M35" i="8"/>
  <c r="N21" i="8"/>
  <c r="M21" i="8"/>
  <c r="M33" i="8"/>
  <c r="N33" i="8"/>
  <c r="M19" i="8"/>
  <c r="N19" i="8"/>
  <c r="M12" i="8"/>
  <c r="N12" i="8"/>
  <c r="N37" i="8"/>
  <c r="M37" i="8"/>
  <c r="M40" i="8"/>
  <c r="N40" i="8"/>
  <c r="M14" i="8"/>
  <c r="N14" i="8"/>
  <c r="N34" i="8"/>
  <c r="M34" i="8"/>
  <c r="N28" i="8"/>
  <c r="M28" i="8"/>
  <c r="N30" i="8"/>
  <c r="M30" i="8"/>
  <c r="M32" i="8"/>
  <c r="N32" i="8"/>
  <c r="N13" i="8"/>
  <c r="M13" i="8"/>
  <c r="N20" i="8"/>
  <c r="M20" i="8"/>
  <c r="L11" i="8"/>
  <c r="K44" i="8"/>
  <c r="N41" i="8"/>
  <c r="M41" i="8"/>
  <c r="N23" i="8"/>
  <c r="M23" i="8"/>
  <c r="N16" i="8"/>
  <c r="M16" i="8"/>
  <c r="N39" i="8"/>
  <c r="M39" i="8"/>
  <c r="N38" i="8"/>
  <c r="M38" i="8"/>
  <c r="I44" i="8"/>
  <c r="L18" i="8"/>
  <c r="N31" i="8"/>
  <c r="M31" i="8"/>
  <c r="L9" i="8"/>
  <c r="L25" i="8"/>
  <c r="O17" i="6"/>
  <c r="N17" i="6"/>
  <c r="O16" i="6"/>
  <c r="N16" i="6"/>
  <c r="N11" i="6"/>
  <c r="O11" i="6"/>
  <c r="N12" i="6"/>
  <c r="O12" i="6"/>
  <c r="O18" i="6"/>
  <c r="N18" i="6"/>
  <c r="O14" i="6"/>
  <c r="N14" i="6"/>
  <c r="N15" i="6"/>
  <c r="O15" i="6"/>
  <c r="N10" i="6"/>
  <c r="O10" i="6"/>
  <c r="O13" i="6"/>
  <c r="N13" i="6"/>
  <c r="O33" i="6"/>
  <c r="N33" i="6"/>
  <c r="N35" i="6"/>
  <c r="O35" i="6"/>
  <c r="N23" i="6"/>
  <c r="O23" i="6"/>
  <c r="M24" i="6"/>
  <c r="M40" i="6"/>
  <c r="O34" i="6"/>
  <c r="N34" i="6"/>
  <c r="I44" i="6"/>
  <c r="M25" i="6"/>
  <c r="M27" i="6"/>
  <c r="M41" i="6"/>
  <c r="O19" i="6"/>
  <c r="N19" i="6"/>
  <c r="N21" i="6"/>
  <c r="O21" i="6"/>
  <c r="N22" i="6"/>
  <c r="O22" i="6"/>
  <c r="M39" i="6"/>
  <c r="M28" i="6"/>
  <c r="M42" i="6"/>
  <c r="O32" i="6"/>
  <c r="N32" i="6"/>
  <c r="N37" i="6"/>
  <c r="O37" i="6"/>
  <c r="M43" i="6"/>
  <c r="O31" i="6"/>
  <c r="N31" i="6"/>
  <c r="O20" i="6"/>
  <c r="N20" i="6"/>
  <c r="O9" i="6"/>
  <c r="N9" i="6"/>
  <c r="O36" i="6"/>
  <c r="N36" i="6"/>
  <c r="M38" i="6"/>
  <c r="M26" i="6"/>
  <c r="M29" i="6"/>
  <c r="K44" i="6"/>
  <c r="M30" i="6"/>
  <c r="N44" i="5"/>
  <c r="N47" i="5" s="1"/>
  <c r="F73" i="11" l="1"/>
  <c r="M11" i="10"/>
  <c r="M44" i="10" s="1"/>
  <c r="N11" i="10"/>
  <c r="N44" i="10" s="1"/>
  <c r="N47" i="10" s="1"/>
  <c r="L44" i="10"/>
  <c r="C64" i="9"/>
  <c r="O51" i="9"/>
  <c r="J64" i="9"/>
  <c r="O63" i="9"/>
  <c r="O61" i="9"/>
  <c r="O53" i="9"/>
  <c r="O59" i="9"/>
  <c r="F64" i="9"/>
  <c r="K64" i="9"/>
  <c r="E64" i="9"/>
  <c r="D64" i="9"/>
  <c r="M18" i="8"/>
  <c r="N18" i="8"/>
  <c r="N25" i="8"/>
  <c r="M25" i="8"/>
  <c r="M11" i="8"/>
  <c r="N11" i="8"/>
  <c r="L44" i="8"/>
  <c r="N9" i="8"/>
  <c r="N44" i="8" s="1"/>
  <c r="N47" i="8" s="1"/>
  <c r="M9" i="8"/>
  <c r="M44" i="8" s="1"/>
  <c r="N28" i="6"/>
  <c r="O28" i="6"/>
  <c r="N29" i="6"/>
  <c r="O29" i="6"/>
  <c r="N30" i="6"/>
  <c r="O30" i="6"/>
  <c r="N38" i="6"/>
  <c r="O38" i="6"/>
  <c r="N39" i="6"/>
  <c r="O39" i="6"/>
  <c r="O40" i="6"/>
  <c r="N40" i="6"/>
  <c r="O24" i="6"/>
  <c r="N24" i="6"/>
  <c r="N44" i="6" s="1"/>
  <c r="N41" i="6"/>
  <c r="O41" i="6"/>
  <c r="O26" i="6"/>
  <c r="N26" i="6"/>
  <c r="O43" i="6"/>
  <c r="N43" i="6"/>
  <c r="M44" i="6"/>
  <c r="N27" i="6"/>
  <c r="O27" i="6"/>
  <c r="N42" i="6"/>
  <c r="O42" i="6"/>
  <c r="O25" i="6"/>
  <c r="O44" i="6" s="1"/>
  <c r="O47" i="6" s="1"/>
  <c r="N25" i="6"/>
  <c r="N48" i="5"/>
  <c r="N49" i="5" s="1"/>
  <c r="O41" i="5" s="1"/>
  <c r="O42" i="5"/>
  <c r="O43" i="5"/>
  <c r="O36" i="5"/>
  <c r="O29" i="5"/>
  <c r="O18" i="5"/>
  <c r="O11" i="5"/>
  <c r="O20" i="5"/>
  <c r="O40" i="5"/>
  <c r="O32" i="5" l="1"/>
  <c r="O30" i="5"/>
  <c r="O25" i="5"/>
  <c r="O39" i="5"/>
  <c r="O27" i="5"/>
  <c r="O15" i="5"/>
  <c r="O23" i="5"/>
  <c r="P23" i="5" s="1"/>
  <c r="O13" i="5"/>
  <c r="O10" i="5"/>
  <c r="O9" i="5"/>
  <c r="L9" i="6" s="1"/>
  <c r="C8" i="7" s="1"/>
  <c r="H8" i="7" s="1"/>
  <c r="O37" i="5"/>
  <c r="P37" i="5" s="1"/>
  <c r="O34" i="5"/>
  <c r="P34" i="5" s="1"/>
  <c r="O22" i="5"/>
  <c r="P22" i="5" s="1"/>
  <c r="P41" i="5"/>
  <c r="L41" i="6"/>
  <c r="C40" i="7" s="1"/>
  <c r="H30" i="7" s="1"/>
  <c r="P25" i="5"/>
  <c r="L25" i="6"/>
  <c r="C24" i="7" s="1"/>
  <c r="H17" i="7" s="1"/>
  <c r="P11" i="5"/>
  <c r="L11" i="6"/>
  <c r="C10" i="7" s="1"/>
  <c r="H10" i="7" s="1"/>
  <c r="P18" i="5"/>
  <c r="L18" i="6"/>
  <c r="C17" i="7" s="1"/>
  <c r="H13" i="7" s="1"/>
  <c r="P39" i="5"/>
  <c r="L39" i="6"/>
  <c r="C38" i="7" s="1"/>
  <c r="P42" i="5"/>
  <c r="L42" i="6"/>
  <c r="C41" i="7" s="1"/>
  <c r="H31" i="7" s="1"/>
  <c r="O14" i="5"/>
  <c r="P20" i="5"/>
  <c r="L20" i="6"/>
  <c r="C19" i="7" s="1"/>
  <c r="P36" i="5"/>
  <c r="L36" i="6"/>
  <c r="C35" i="7" s="1"/>
  <c r="H28" i="7" s="1"/>
  <c r="O12" i="5"/>
  <c r="O21" i="5"/>
  <c r="P15" i="5"/>
  <c r="L15" i="6"/>
  <c r="C14" i="7" s="1"/>
  <c r="P27" i="5"/>
  <c r="L27" i="6"/>
  <c r="C26" i="7" s="1"/>
  <c r="H19" i="7" s="1"/>
  <c r="O28" i="5"/>
  <c r="P10" i="5"/>
  <c r="L10" i="6"/>
  <c r="C9" i="7" s="1"/>
  <c r="H9" i="7" s="1"/>
  <c r="P43" i="5"/>
  <c r="L43" i="6"/>
  <c r="C42" i="7" s="1"/>
  <c r="H32" i="7" s="1"/>
  <c r="O17" i="5"/>
  <c r="O19" i="5"/>
  <c r="O24" i="5"/>
  <c r="O26" i="5"/>
  <c r="O31" i="5"/>
  <c r="O33" i="5"/>
  <c r="O38" i="5"/>
  <c r="O35" i="5"/>
  <c r="P30" i="5"/>
  <c r="L30" i="6"/>
  <c r="C29" i="7" s="1"/>
  <c r="H22" i="7" s="1"/>
  <c r="P32" i="5"/>
  <c r="L32" i="6"/>
  <c r="C31" i="7" s="1"/>
  <c r="H24" i="7" s="1"/>
  <c r="P29" i="5"/>
  <c r="L29" i="6"/>
  <c r="C28" i="7" s="1"/>
  <c r="H21" i="7" s="1"/>
  <c r="P40" i="5"/>
  <c r="L40" i="6"/>
  <c r="C39" i="7" s="1"/>
  <c r="P13" i="5"/>
  <c r="L13" i="6"/>
  <c r="C12" i="7" s="1"/>
  <c r="O16" i="5"/>
  <c r="F77" i="11"/>
  <c r="F76" i="11"/>
  <c r="N48" i="10"/>
  <c r="N49" i="10" s="1"/>
  <c r="O41" i="10" s="1"/>
  <c r="P41" i="10" s="1"/>
  <c r="O42" i="10"/>
  <c r="P42" i="10" s="1"/>
  <c r="O35" i="10"/>
  <c r="P35" i="10" s="1"/>
  <c r="O28" i="10"/>
  <c r="P28" i="10" s="1"/>
  <c r="O21" i="10"/>
  <c r="P21" i="10" s="1"/>
  <c r="O14" i="10"/>
  <c r="P14" i="10" s="1"/>
  <c r="O31" i="10"/>
  <c r="P31" i="10" s="1"/>
  <c r="O24" i="10"/>
  <c r="P24" i="10" s="1"/>
  <c r="O33" i="10"/>
  <c r="P33" i="10" s="1"/>
  <c r="O17" i="10"/>
  <c r="P17" i="10" s="1"/>
  <c r="O37" i="10"/>
  <c r="P37" i="10" s="1"/>
  <c r="O30" i="10"/>
  <c r="P30" i="10" s="1"/>
  <c r="O23" i="10"/>
  <c r="P23" i="10" s="1"/>
  <c r="O16" i="10"/>
  <c r="P16" i="10" s="1"/>
  <c r="O9" i="10"/>
  <c r="O12" i="10"/>
  <c r="P12" i="10" s="1"/>
  <c r="O64" i="9"/>
  <c r="N48" i="8"/>
  <c r="N49" i="8" s="1"/>
  <c r="O41" i="8" s="1"/>
  <c r="P41" i="8" s="1"/>
  <c r="O24" i="8"/>
  <c r="P24" i="8" s="1"/>
  <c r="O42" i="8"/>
  <c r="P42" i="8" s="1"/>
  <c r="O35" i="8"/>
  <c r="P35" i="8" s="1"/>
  <c r="O28" i="8"/>
  <c r="P28" i="8" s="1"/>
  <c r="O21" i="8"/>
  <c r="P21" i="8" s="1"/>
  <c r="O15" i="8"/>
  <c r="P15" i="8" s="1"/>
  <c r="O12" i="8"/>
  <c r="P12" i="8" s="1"/>
  <c r="O37" i="8"/>
  <c r="P37" i="8" s="1"/>
  <c r="O30" i="8"/>
  <c r="P30" i="8" s="1"/>
  <c r="O23" i="8"/>
  <c r="P23" i="8" s="1"/>
  <c r="O16" i="8"/>
  <c r="P16" i="8" s="1"/>
  <c r="O38" i="8"/>
  <c r="P38" i="8" s="1"/>
  <c r="O39" i="8"/>
  <c r="P39" i="8" s="1"/>
  <c r="O10" i="8"/>
  <c r="P10" i="8" s="1"/>
  <c r="O48" i="6"/>
  <c r="O49" i="6" s="1"/>
  <c r="P43" i="6" s="1"/>
  <c r="Q43" i="6" s="1"/>
  <c r="S43" i="6" s="1"/>
  <c r="L22" i="6" l="1"/>
  <c r="C21" i="7" s="1"/>
  <c r="H14" i="7" s="1"/>
  <c r="L34" i="6"/>
  <c r="C33" i="7" s="1"/>
  <c r="H26" i="7" s="1"/>
  <c r="L23" i="6"/>
  <c r="C22" i="7" s="1"/>
  <c r="H15" i="7" s="1"/>
  <c r="L37" i="6"/>
  <c r="C36" i="7" s="1"/>
  <c r="H29" i="7" s="1"/>
  <c r="P9" i="5"/>
  <c r="P17" i="5"/>
  <c r="L17" i="6"/>
  <c r="C16" i="7" s="1"/>
  <c r="P26" i="5"/>
  <c r="L26" i="6"/>
  <c r="C25" i="7" s="1"/>
  <c r="H18" i="7" s="1"/>
  <c r="P24" i="5"/>
  <c r="L24" i="6"/>
  <c r="C23" i="7" s="1"/>
  <c r="H16" i="7" s="1"/>
  <c r="P35" i="5"/>
  <c r="L35" i="6"/>
  <c r="C34" i="7" s="1"/>
  <c r="H27" i="7" s="1"/>
  <c r="P38" i="5"/>
  <c r="L38" i="6"/>
  <c r="C37" i="7" s="1"/>
  <c r="P28" i="5"/>
  <c r="L28" i="6"/>
  <c r="C27" i="7" s="1"/>
  <c r="H20" i="7" s="1"/>
  <c r="P12" i="5"/>
  <c r="L12" i="6"/>
  <c r="C11" i="7" s="1"/>
  <c r="P19" i="5"/>
  <c r="L19" i="6"/>
  <c r="C18" i="7" s="1"/>
  <c r="P21" i="5"/>
  <c r="L21" i="6"/>
  <c r="C20" i="7" s="1"/>
  <c r="O44" i="5"/>
  <c r="P33" i="5"/>
  <c r="L33" i="6"/>
  <c r="C32" i="7" s="1"/>
  <c r="H25" i="7" s="1"/>
  <c r="P16" i="5"/>
  <c r="L16" i="6"/>
  <c r="C15" i="7" s="1"/>
  <c r="P31" i="5"/>
  <c r="L31" i="6"/>
  <c r="C30" i="7" s="1"/>
  <c r="H23" i="7" s="1"/>
  <c r="P14" i="5"/>
  <c r="L14" i="6"/>
  <c r="C13" i="7" s="1"/>
  <c r="O13" i="10"/>
  <c r="P13" i="10" s="1"/>
  <c r="P9" i="10"/>
  <c r="O20" i="10"/>
  <c r="P20" i="10" s="1"/>
  <c r="O38" i="10"/>
  <c r="P38" i="10" s="1"/>
  <c r="O15" i="10"/>
  <c r="P15" i="10" s="1"/>
  <c r="O22" i="10"/>
  <c r="P22" i="10" s="1"/>
  <c r="O25" i="10"/>
  <c r="P25" i="10" s="1"/>
  <c r="O32" i="10"/>
  <c r="P32" i="10" s="1"/>
  <c r="O36" i="10"/>
  <c r="P36" i="10" s="1"/>
  <c r="O27" i="10"/>
  <c r="P27" i="10" s="1"/>
  <c r="O10" i="10"/>
  <c r="P10" i="10" s="1"/>
  <c r="O29" i="10"/>
  <c r="P29" i="10" s="1"/>
  <c r="O39" i="10"/>
  <c r="P39" i="10" s="1"/>
  <c r="O43" i="10"/>
  <c r="P43" i="10" s="1"/>
  <c r="O34" i="10"/>
  <c r="P34" i="10" s="1"/>
  <c r="O40" i="10"/>
  <c r="P40" i="10" s="1"/>
  <c r="O11" i="10"/>
  <c r="P11" i="10" s="1"/>
  <c r="O18" i="10"/>
  <c r="P18" i="10" s="1"/>
  <c r="O26" i="10"/>
  <c r="P26" i="10" s="1"/>
  <c r="O19" i="10"/>
  <c r="P19" i="10" s="1"/>
  <c r="O68" i="9"/>
  <c r="O67" i="9"/>
  <c r="O13" i="8"/>
  <c r="P13" i="8" s="1"/>
  <c r="O14" i="8"/>
  <c r="P14" i="8" s="1"/>
  <c r="O22" i="8"/>
  <c r="P22" i="8" s="1"/>
  <c r="O20" i="8"/>
  <c r="P20" i="8" s="1"/>
  <c r="O9" i="8"/>
  <c r="O29" i="8"/>
  <c r="P29" i="8" s="1"/>
  <c r="O43" i="8"/>
  <c r="P43" i="8" s="1"/>
  <c r="O27" i="8"/>
  <c r="P27" i="8" s="1"/>
  <c r="O17" i="8"/>
  <c r="P17" i="8" s="1"/>
  <c r="O11" i="8"/>
  <c r="P11" i="8" s="1"/>
  <c r="O25" i="8"/>
  <c r="P25" i="8" s="1"/>
  <c r="O31" i="8"/>
  <c r="P31" i="8" s="1"/>
  <c r="O34" i="8"/>
  <c r="P34" i="8" s="1"/>
  <c r="O26" i="8"/>
  <c r="P26" i="8" s="1"/>
  <c r="O33" i="8"/>
  <c r="P33" i="8" s="1"/>
  <c r="O40" i="8"/>
  <c r="P40" i="8" s="1"/>
  <c r="O36" i="8"/>
  <c r="P36" i="8" s="1"/>
  <c r="O18" i="8"/>
  <c r="P18" i="8" s="1"/>
  <c r="O32" i="8"/>
  <c r="P32" i="8" s="1"/>
  <c r="O19" i="8"/>
  <c r="P19" i="8" s="1"/>
  <c r="P26" i="6"/>
  <c r="Q26" i="6" s="1"/>
  <c r="S26" i="6" s="1"/>
  <c r="P37" i="6"/>
  <c r="Q37" i="6" s="1"/>
  <c r="S37" i="6" s="1"/>
  <c r="P17" i="6"/>
  <c r="Q17" i="6" s="1"/>
  <c r="S17" i="6" s="1"/>
  <c r="P11" i="6"/>
  <c r="Q11" i="6" s="1"/>
  <c r="S11" i="6" s="1"/>
  <c r="P21" i="6"/>
  <c r="Q21" i="6" s="1"/>
  <c r="S21" i="6" s="1"/>
  <c r="P22" i="6"/>
  <c r="Q22" i="6" s="1"/>
  <c r="S22" i="6" s="1"/>
  <c r="P36" i="6"/>
  <c r="Q36" i="6" s="1"/>
  <c r="S36" i="6" s="1"/>
  <c r="P13" i="6"/>
  <c r="Q13" i="6" s="1"/>
  <c r="S13" i="6" s="1"/>
  <c r="P19" i="6"/>
  <c r="Q19" i="6" s="1"/>
  <c r="S19" i="6" s="1"/>
  <c r="P24" i="6"/>
  <c r="Q24" i="6" s="1"/>
  <c r="S24" i="6" s="1"/>
  <c r="P14" i="6"/>
  <c r="Q14" i="6" s="1"/>
  <c r="S14" i="6" s="1"/>
  <c r="P27" i="6"/>
  <c r="Q27" i="6" s="1"/>
  <c r="S27" i="6" s="1"/>
  <c r="P10" i="6"/>
  <c r="Q10" i="6" s="1"/>
  <c r="S10" i="6" s="1"/>
  <c r="P9" i="6"/>
  <c r="P23" i="6"/>
  <c r="Q23" i="6" s="1"/>
  <c r="S23" i="6" s="1"/>
  <c r="P28" i="6"/>
  <c r="Q28" i="6" s="1"/>
  <c r="S28" i="6" s="1"/>
  <c r="P12" i="6"/>
  <c r="Q12" i="6" s="1"/>
  <c r="S12" i="6" s="1"/>
  <c r="P32" i="6"/>
  <c r="Q32" i="6" s="1"/>
  <c r="S32" i="6" s="1"/>
  <c r="P31" i="6"/>
  <c r="Q31" i="6" s="1"/>
  <c r="S31" i="6" s="1"/>
  <c r="P40" i="6"/>
  <c r="Q40" i="6" s="1"/>
  <c r="S40" i="6" s="1"/>
  <c r="P16" i="6"/>
  <c r="Q16" i="6" s="1"/>
  <c r="S16" i="6" s="1"/>
  <c r="P15" i="6"/>
  <c r="Q15" i="6" s="1"/>
  <c r="S15" i="6" s="1"/>
  <c r="P29" i="6"/>
  <c r="Q29" i="6" s="1"/>
  <c r="S29" i="6" s="1"/>
  <c r="P42" i="6"/>
  <c r="Q42" i="6" s="1"/>
  <c r="S42" i="6" s="1"/>
  <c r="P25" i="6"/>
  <c r="Q25" i="6" s="1"/>
  <c r="S25" i="6" s="1"/>
  <c r="P33" i="6"/>
  <c r="Q33" i="6" s="1"/>
  <c r="S33" i="6" s="1"/>
  <c r="P18" i="6"/>
  <c r="Q18" i="6" s="1"/>
  <c r="S18" i="6" s="1"/>
  <c r="P30" i="6"/>
  <c r="Q30" i="6" s="1"/>
  <c r="S30" i="6" s="1"/>
  <c r="P35" i="6"/>
  <c r="Q35" i="6" s="1"/>
  <c r="S35" i="6" s="1"/>
  <c r="P39" i="6"/>
  <c r="Q39" i="6" s="1"/>
  <c r="S39" i="6" s="1"/>
  <c r="P34" i="6"/>
  <c r="Q34" i="6" s="1"/>
  <c r="S34" i="6" s="1"/>
  <c r="P38" i="6"/>
  <c r="Q38" i="6" s="1"/>
  <c r="S38" i="6" s="1"/>
  <c r="P41" i="6"/>
  <c r="Q41" i="6" s="1"/>
  <c r="S41" i="6" s="1"/>
  <c r="P20" i="6"/>
  <c r="Q20" i="6" s="1"/>
  <c r="S20" i="6" s="1"/>
  <c r="P44" i="5" l="1"/>
  <c r="H12" i="7"/>
  <c r="C43" i="7"/>
  <c r="H11" i="7"/>
  <c r="L44" i="6"/>
  <c r="P44" i="10"/>
  <c r="O44" i="10"/>
  <c r="O44" i="8"/>
  <c r="P9" i="8"/>
  <c r="P44" i="8" s="1"/>
  <c r="P44" i="6"/>
  <c r="Q9" i="6"/>
  <c r="K56" i="7" l="1" a="1"/>
  <c r="K56" i="7" s="1"/>
  <c r="C66" i="7" a="1"/>
  <c r="C66" i="7" s="1"/>
  <c r="K6" i="7" a="1"/>
  <c r="K6" i="7" s="1"/>
  <c r="I64" i="7" a="1"/>
  <c r="I64" i="7" s="1"/>
  <c r="E64" i="7" a="1"/>
  <c r="E64" i="7" s="1"/>
  <c r="J59" i="7" a="1"/>
  <c r="J59" i="7" s="1"/>
  <c r="C64" i="7" a="1"/>
  <c r="C64" i="7" s="1"/>
  <c r="F57" i="7" a="1"/>
  <c r="F57" i="7" s="1"/>
  <c r="K57" i="7" a="1"/>
  <c r="K57" i="7" s="1"/>
  <c r="K52" i="7" a="1"/>
  <c r="K52" i="7" s="1"/>
  <c r="E54" i="7" a="1"/>
  <c r="E54" i="7" s="1"/>
  <c r="F51" i="7" a="1"/>
  <c r="F51" i="7" s="1"/>
  <c r="E59" i="7" a="1"/>
  <c r="E59" i="7" s="1"/>
  <c r="D57" i="7" a="1"/>
  <c r="D57" i="7" s="1"/>
  <c r="D52" i="7" a="1"/>
  <c r="D52" i="7" s="1"/>
  <c r="K65" i="7" a="1"/>
  <c r="K65" i="7" s="1"/>
  <c r="H52" i="7" a="1"/>
  <c r="H52" i="7" s="1"/>
  <c r="K64" i="7" a="1"/>
  <c r="K64" i="7" s="1"/>
  <c r="F56" i="7" a="1"/>
  <c r="F56" i="7" s="1"/>
  <c r="H33" i="7"/>
  <c r="G53" i="7" s="1" a="1"/>
  <c r="G53" i="7" s="1"/>
  <c r="C59" i="7" a="1"/>
  <c r="C59" i="7" s="1"/>
  <c r="D63" i="7" a="1"/>
  <c r="D63" i="7" s="1"/>
  <c r="K66" i="7" a="1"/>
  <c r="K66" i="7" s="1"/>
  <c r="I61" i="7" a="1"/>
  <c r="I61" i="7" s="1"/>
  <c r="H57" i="7" a="1"/>
  <c r="H57" i="7" s="1"/>
  <c r="I52" i="7" a="1"/>
  <c r="I52" i="7" s="1"/>
  <c r="H59" i="7" a="1"/>
  <c r="H59" i="7" s="1"/>
  <c r="D61" i="7" a="1"/>
  <c r="D61" i="7" s="1"/>
  <c r="J58" i="7" a="1"/>
  <c r="J58" i="7" s="1"/>
  <c r="G51" i="7" a="1"/>
  <c r="G51" i="7" s="1"/>
  <c r="G65" i="7" a="1"/>
  <c r="G65" i="7" s="1"/>
  <c r="G64" i="7" a="1"/>
  <c r="G64" i="7" s="1"/>
  <c r="G61" i="7" a="1"/>
  <c r="G61" i="7" s="1"/>
  <c r="G52" i="7" a="1"/>
  <c r="G52" i="7" s="1"/>
  <c r="E53" i="7" a="1"/>
  <c r="E53" i="7" s="1"/>
  <c r="C53" i="7" a="1"/>
  <c r="C53" i="7" s="1"/>
  <c r="G60" i="7" a="1"/>
  <c r="G60" i="7" s="1"/>
  <c r="G62" i="7" a="1"/>
  <c r="G62" i="7" s="1"/>
  <c r="J55" i="7" a="1"/>
  <c r="J55" i="7" s="1"/>
  <c r="J53" i="7" a="1"/>
  <c r="J53" i="7" s="1"/>
  <c r="J63" i="7" a="1"/>
  <c r="J63" i="7" s="1"/>
  <c r="F60" i="7" a="1"/>
  <c r="F60" i="7" s="1"/>
  <c r="E62" i="7" a="1"/>
  <c r="E62" i="7" s="1"/>
  <c r="C55" i="7" a="1"/>
  <c r="C55" i="7" s="1"/>
  <c r="I53" i="7" a="1"/>
  <c r="I53" i="7" s="1"/>
  <c r="J60" i="7" a="1"/>
  <c r="J60" i="7" s="1"/>
  <c r="J62" i="7" a="1"/>
  <c r="J62" i="7" s="1"/>
  <c r="D55" i="7" a="1"/>
  <c r="D55" i="7" s="1"/>
  <c r="J61" i="7" a="1"/>
  <c r="J61" i="7" s="1"/>
  <c r="S9" i="6"/>
  <c r="S44" i="6" s="1"/>
  <c r="Q44" i="6"/>
  <c r="E65" i="7" l="1" a="1"/>
  <c r="E65" i="7" s="1"/>
  <c r="H51" i="7" a="1"/>
  <c r="H51" i="7" s="1"/>
  <c r="F63" i="7" a="1"/>
  <c r="F63" i="7" s="1"/>
  <c r="F54" i="7" a="1"/>
  <c r="F54" i="7" s="1"/>
  <c r="C57" i="7" a="1"/>
  <c r="C57" i="7" s="1"/>
  <c r="F65" i="7" a="1"/>
  <c r="F65" i="7" s="1"/>
  <c r="F55" i="7" a="1"/>
  <c r="F55" i="7" s="1"/>
  <c r="J65" i="7" a="1"/>
  <c r="J65" i="7" s="1"/>
  <c r="G63" i="7" a="1"/>
  <c r="G63" i="7" s="1"/>
  <c r="H56" i="7" a="1"/>
  <c r="H56" i="7" s="1"/>
  <c r="E52" i="7" a="1"/>
  <c r="E52" i="7" s="1"/>
  <c r="C58" i="7" a="1"/>
  <c r="C58" i="7" s="1"/>
  <c r="C61" i="7" a="1"/>
  <c r="C61" i="7" s="1"/>
  <c r="H63" i="7" a="1"/>
  <c r="H63" i="7" s="1"/>
  <c r="E56" i="7" a="1"/>
  <c r="E56" i="7" s="1"/>
  <c r="D54" i="7" a="1"/>
  <c r="D54" i="7" s="1"/>
  <c r="H66" i="7" a="1"/>
  <c r="H66" i="7" s="1"/>
  <c r="H54" i="7" a="1"/>
  <c r="H54" i="7" s="1"/>
  <c r="D56" i="7" a="1"/>
  <c r="D56" i="7" s="1"/>
  <c r="J51" i="7" a="1"/>
  <c r="J51" i="7" s="1"/>
  <c r="K55" i="7" a="1"/>
  <c r="K55" i="7" s="1"/>
  <c r="D60" i="7" a="1"/>
  <c r="D60" i="7" s="1"/>
  <c r="I56" i="7" a="1"/>
  <c r="I56" i="7" s="1"/>
  <c r="D65" i="7" a="1"/>
  <c r="D65" i="7" s="1"/>
  <c r="I65" i="7" a="1"/>
  <c r="I65" i="7" s="1"/>
  <c r="F53" i="7" a="1"/>
  <c r="F53" i="7" s="1"/>
  <c r="I57" i="7" a="1"/>
  <c r="I57" i="7" s="1"/>
  <c r="K59" i="7" a="1"/>
  <c r="K59" i="7" s="1"/>
  <c r="I63" i="7" a="1"/>
  <c r="I63" i="7" s="1"/>
  <c r="C65" i="7" a="1"/>
  <c r="C65" i="7" s="1"/>
  <c r="C51" i="7" a="1"/>
  <c r="C51" i="7" s="1"/>
  <c r="D64" i="7" a="1"/>
  <c r="D64" i="7" s="1"/>
  <c r="G55" i="7" a="1"/>
  <c r="G55" i="7" s="1"/>
  <c r="D51" i="7" a="1"/>
  <c r="D51" i="7" s="1"/>
  <c r="J54" i="7" a="1"/>
  <c r="J54" i="7" s="1"/>
  <c r="G57" i="7" a="1"/>
  <c r="G57" i="7" s="1"/>
  <c r="D66" i="7" a="1"/>
  <c r="D66" i="7" s="1"/>
  <c r="D58" i="7" a="1"/>
  <c r="D58" i="7" s="1"/>
  <c r="G59" i="7" a="1"/>
  <c r="G59" i="7" s="1"/>
  <c r="C63" i="7" a="1"/>
  <c r="C63" i="7" s="1"/>
  <c r="C54" i="7" a="1"/>
  <c r="C54" i="7" s="1"/>
  <c r="J64" i="7" a="1"/>
  <c r="J64" i="7" s="1"/>
  <c r="F66" i="7" a="1"/>
  <c r="F66" i="7" s="1"/>
  <c r="I54" i="7" a="1"/>
  <c r="I54" i="7" s="1"/>
  <c r="H65" i="7" a="1"/>
  <c r="H65" i="7" s="1"/>
  <c r="F62" i="7" a="1"/>
  <c r="F62" i="7" s="1"/>
  <c r="K51" i="7" a="1"/>
  <c r="K51" i="7" s="1"/>
  <c r="G66" i="7" a="1"/>
  <c r="G66" i="7" s="1"/>
  <c r="E66" i="7" a="1"/>
  <c r="E66" i="7" s="1"/>
  <c r="F52" i="7" a="1"/>
  <c r="F52" i="7" s="1"/>
  <c r="D59" i="7" a="1"/>
  <c r="D59" i="7" s="1"/>
  <c r="H64" i="7" a="1"/>
  <c r="H64" i="7" s="1"/>
  <c r="E57" i="7" a="1"/>
  <c r="E57" i="7" s="1"/>
  <c r="K63" i="7" a="1"/>
  <c r="K63" i="7" s="1"/>
  <c r="C60" i="7" a="1"/>
  <c r="C60" i="7" s="1"/>
  <c r="I55" i="7" a="1"/>
  <c r="I55" i="7" s="1"/>
  <c r="I51" i="7" a="1"/>
  <c r="I51" i="7" s="1"/>
  <c r="L69" i="7" a="1"/>
  <c r="L69" i="7" s="1"/>
  <c r="I60" i="7" a="1"/>
  <c r="I60" i="7" s="1"/>
  <c r="G58" i="7" a="1"/>
  <c r="G58" i="7" s="1"/>
  <c r="H62" i="7" a="1"/>
  <c r="H62" i="7" s="1"/>
  <c r="I62" i="7" a="1"/>
  <c r="I62" i="7" s="1"/>
  <c r="J57" i="7" a="1"/>
  <c r="J57" i="7" s="1"/>
  <c r="J56" i="7" a="1"/>
  <c r="J56" i="7" s="1"/>
  <c r="I58" i="7" a="1"/>
  <c r="I58" i="7" s="1"/>
  <c r="F58" i="7" a="1"/>
  <c r="F58" i="7" s="1"/>
  <c r="K53" i="7" a="1"/>
  <c r="K53" i="7" s="1"/>
  <c r="J52" i="7" a="1"/>
  <c r="J52" i="7" s="1"/>
  <c r="H58" i="7" a="1"/>
  <c r="H58" i="7" s="1"/>
  <c r="D62" i="7" a="1"/>
  <c r="D62" i="7" s="1"/>
  <c r="E60" i="7" a="1"/>
  <c r="E60" i="7" s="1"/>
  <c r="E58" i="7" a="1"/>
  <c r="E58" i="7" s="1"/>
  <c r="H60" i="7" a="1"/>
  <c r="H60" i="7" s="1"/>
  <c r="K60" i="7" a="1"/>
  <c r="K60" i="7" s="1"/>
  <c r="J66" i="7" a="1"/>
  <c r="J66" i="7" s="1"/>
  <c r="K58" i="7" a="1"/>
  <c r="K58" i="7" s="1"/>
  <c r="H55" i="7" a="1"/>
  <c r="H55" i="7" s="1"/>
  <c r="K62" i="7" a="1"/>
  <c r="K62" i="7" s="1"/>
  <c r="C52" i="7" a="1"/>
  <c r="C52" i="7" s="1"/>
  <c r="H61" i="7" a="1"/>
  <c r="H61" i="7" s="1"/>
  <c r="H53" i="7" a="1"/>
  <c r="H53" i="7" s="1"/>
  <c r="H67" i="7" s="1"/>
  <c r="E55" i="7" a="1"/>
  <c r="E55" i="7" s="1"/>
  <c r="G54" i="7" a="1"/>
  <c r="G54" i="7" s="1"/>
  <c r="G67" i="7" s="1"/>
  <c r="F59" i="7" a="1"/>
  <c r="F59" i="7" s="1"/>
  <c r="E61" i="7" a="1"/>
  <c r="E61" i="7" s="1"/>
  <c r="F64" i="7" a="1"/>
  <c r="F64" i="7" s="1"/>
  <c r="F61" i="7" a="1"/>
  <c r="F61" i="7" s="1"/>
  <c r="C56" i="7" a="1"/>
  <c r="C56" i="7" s="1"/>
  <c r="C62" i="7" a="1"/>
  <c r="C62" i="7" s="1"/>
  <c r="G56" i="7" a="1"/>
  <c r="G56" i="7" s="1"/>
  <c r="E51" i="7" a="1"/>
  <c r="E51" i="7" s="1"/>
  <c r="I66" i="7" a="1"/>
  <c r="I66" i="7" s="1"/>
  <c r="K61" i="7" a="1"/>
  <c r="K61" i="7" s="1"/>
  <c r="E63" i="7" a="1"/>
  <c r="E63" i="7" s="1"/>
  <c r="I59" i="7" a="1"/>
  <c r="I59" i="7" s="1"/>
  <c r="K54" i="7" a="1"/>
  <c r="K54" i="7" s="1"/>
  <c r="D53" i="7" a="1"/>
  <c r="D53" i="7" s="1"/>
  <c r="L53" i="7" s="1"/>
  <c r="L59" i="7" l="1"/>
  <c r="L57" i="7"/>
  <c r="L60" i="7"/>
  <c r="L63" i="7"/>
  <c r="L65" i="7"/>
  <c r="L55" i="7"/>
  <c r="L64" i="7"/>
  <c r="L66" i="7"/>
  <c r="I67" i="7"/>
  <c r="L54" i="7"/>
  <c r="L61" i="7"/>
  <c r="C67" i="7"/>
  <c r="L51" i="7"/>
  <c r="L58" i="7"/>
  <c r="J67" i="7"/>
  <c r="F67" i="7"/>
  <c r="L62" i="7"/>
  <c r="L56" i="7"/>
  <c r="L52" i="7"/>
  <c r="E67" i="7"/>
  <c r="K67" i="7"/>
  <c r="D67" i="7"/>
  <c r="L67" i="7" l="1"/>
  <c r="L70" i="7" l="1"/>
  <c r="L71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<sst xmlns="http://schemas.openxmlformats.org/spreadsheetml/2006/main" count="975" uniqueCount="101">
  <si>
    <t>Mes (Fecha de emisión de factura)</t>
  </si>
  <si>
    <t>Versión</t>
  </si>
  <si>
    <t>pre</t>
  </si>
  <si>
    <t>N°</t>
  </si>
  <si>
    <t>Clave</t>
  </si>
  <si>
    <t>Libro DP</t>
  </si>
  <si>
    <t>Distribuidora o Cooperativa</t>
  </si>
  <si>
    <t>EFACTAT</t>
  </si>
  <si>
    <t xml:space="preserve">EFACTBT </t>
  </si>
  <si>
    <t>EINYAT</t>
  </si>
  <si>
    <t>EINYBT</t>
  </si>
  <si>
    <t>MFAR</t>
  </si>
  <si>
    <t>[kWh]</t>
  </si>
  <si>
    <t>[$]</t>
  </si>
  <si>
    <t>CEC</t>
  </si>
  <si>
    <t>COELCHA</t>
  </si>
  <si>
    <t>EEC</t>
  </si>
  <si>
    <t>EMELCA</t>
  </si>
  <si>
    <t>CGED</t>
  </si>
  <si>
    <t>ELECDA SIC</t>
  </si>
  <si>
    <t>ELECDA</t>
  </si>
  <si>
    <t>EMELAT</t>
  </si>
  <si>
    <t>EMELECTRIC</t>
  </si>
  <si>
    <t>EMETAL</t>
  </si>
  <si>
    <t>ENEL DISTRIBUCIÓN</t>
  </si>
  <si>
    <t>LUZ ANDES</t>
  </si>
  <si>
    <t>CONAFE A</t>
  </si>
  <si>
    <t>CONAFE B</t>
  </si>
  <si>
    <t>ENELSA</t>
  </si>
  <si>
    <t>CRELL</t>
  </si>
  <si>
    <t>COPELEC</t>
  </si>
  <si>
    <t>EEPA</t>
  </si>
  <si>
    <t>COOPREL</t>
  </si>
  <si>
    <t>SOCOEPA</t>
  </si>
  <si>
    <t>COOPELAN</t>
  </si>
  <si>
    <t>FRONTEL</t>
  </si>
  <si>
    <t>LUZ OSORNO</t>
  </si>
  <si>
    <t>SAESA</t>
  </si>
  <si>
    <t>CODINER</t>
  </si>
  <si>
    <t>CHILQUINTA</t>
  </si>
  <si>
    <t>EDECSA</t>
  </si>
  <si>
    <t>LITORAL</t>
  </si>
  <si>
    <t>LUZLINARES</t>
  </si>
  <si>
    <t>LUZPARRAL</t>
  </si>
  <si>
    <t>TIL TIL</t>
  </si>
  <si>
    <t>TIL-TIL</t>
  </si>
  <si>
    <t>EMELARI</t>
  </si>
  <si>
    <t>ELIQSA</t>
  </si>
  <si>
    <t>ELECDA SING</t>
  </si>
  <si>
    <t>COOPERSOL</t>
  </si>
  <si>
    <t>DESA</t>
  </si>
  <si>
    <t>MATAQUITO</t>
  </si>
  <si>
    <t>Total</t>
  </si>
  <si>
    <t>VTD</t>
  </si>
  <si>
    <t>MFCD RGL</t>
  </si>
  <si>
    <t>MF7TRAN</t>
  </si>
  <si>
    <t>Montos Recaudados TD</t>
  </si>
  <si>
    <t>Variación IPC %</t>
  </si>
  <si>
    <t>Saldo + IPC</t>
  </si>
  <si>
    <t>Ajuste de saldo</t>
  </si>
  <si>
    <t>Ajuste de saldo + IPC</t>
  </si>
  <si>
    <t>VTD +Ajuste</t>
  </si>
  <si>
    <t>VTD Negativo</t>
  </si>
  <si>
    <t>VTD Positivo</t>
  </si>
  <si>
    <t>Monto a Transferir x empresa</t>
  </si>
  <si>
    <t>Saldo</t>
  </si>
  <si>
    <t>TOTAL</t>
  </si>
  <si>
    <t>Total VTD Positivo</t>
  </si>
  <si>
    <t>Total VTD Negativo</t>
  </si>
  <si>
    <t>Monto Final</t>
  </si>
  <si>
    <t>Montos Recaudados AR</t>
  </si>
  <si>
    <t>VA</t>
  </si>
  <si>
    <t>VR</t>
  </si>
  <si>
    <t>Diferencias en saldos</t>
  </si>
  <si>
    <t>Saldo final</t>
  </si>
  <si>
    <t>VTRS</t>
  </si>
  <si>
    <t>VTAS</t>
  </si>
  <si>
    <t>Montos a Transferir por Reliquidación de Ajustes y Recargos entre empresas concesionarias</t>
  </si>
  <si>
    <t>Montos a Transferir x empresa</t>
  </si>
  <si>
    <t>Diferencias en cuadros de pagos (1)</t>
  </si>
  <si>
    <t>Montos a Transferir agrupado</t>
  </si>
  <si>
    <t>Montos a Transferir</t>
  </si>
  <si>
    <t>CGE</t>
  </si>
  <si>
    <t>ENEL DISTRIBUCION</t>
  </si>
  <si>
    <r>
      <rPr>
        <b/>
        <sz val="10"/>
        <rFont val="Calibri"/>
        <family val="2"/>
      </rPr>
      <t>(1)</t>
    </r>
    <r>
      <rPr>
        <sz val="10"/>
        <rFont val="Calibri"/>
        <family val="2"/>
      </rPr>
      <t>: Diferencia de Pagos Cálculo Orig. AR vs Reliquidacion AR, periodo julio 2024 - diciembre 2024</t>
    </r>
  </si>
  <si>
    <t>Cuadro de Pagos</t>
  </si>
  <si>
    <t>Pagan (montos en $)</t>
  </si>
  <si>
    <t>Reciben (montos en $)</t>
  </si>
  <si>
    <t>Montos Recaudados CD RGL</t>
  </si>
  <si>
    <t>MFCDRGL</t>
  </si>
  <si>
    <t>VD</t>
  </si>
  <si>
    <t>VC</t>
  </si>
  <si>
    <t>VTCS</t>
  </si>
  <si>
    <t>VTDS</t>
  </si>
  <si>
    <t>Montos a Transferir por Reliquidación de Cargo y Descuento por Reconocimiento de Generación Local entre empresas concesionarias</t>
  </si>
  <si>
    <t xml:space="preserve"> </t>
  </si>
  <si>
    <r>
      <rPr>
        <b/>
        <sz val="10"/>
        <rFont val="Calibri"/>
        <family val="2"/>
      </rPr>
      <t>(1)</t>
    </r>
    <r>
      <rPr>
        <sz val="10"/>
        <rFont val="Calibri"/>
        <family val="2"/>
      </rPr>
      <t>: Diferencia de Pagos Cálculo Orig. CD RGL Total vs Reliquidacion CD RGL Total, periodo julio 2024 - diciembre 2024</t>
    </r>
  </si>
  <si>
    <t>Montos Recaudados 7TRAN</t>
  </si>
  <si>
    <t>Montos a transferir por descuento en comunas reconocidas como zonas en transición (7° Transitorio)</t>
  </si>
  <si>
    <r>
      <rPr>
        <b/>
        <sz val="10"/>
        <rFont val="Calibri"/>
        <family val="2"/>
      </rPr>
      <t>(1)</t>
    </r>
    <r>
      <rPr>
        <sz val="10"/>
        <rFont val="Calibri"/>
        <family val="2"/>
      </rPr>
      <t>: Diferencia de Pagos Cálculo Orig. 7° Transitorio vs Reliquidación 7° Transitorio, periodo julio 2024 - diciembre 2024</t>
    </r>
  </si>
  <si>
    <t>resumen_montos_facturados_TD_AR_CDpRGL_2502pre.xlsx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</si>
</sst>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164" formatCode="#,##0_ ;[Red]\-#,##0\ "/>
    <numFmt numFmtId="165" formatCode="_-* #,##0_-;\-* #,##0_-;_-* &quot;-&quot;_-;_-@_-"/>
    <numFmt numFmtId="166" formatCode="mmmm\ yyyy"/>
    <numFmt numFmtId="167" formatCode="0.0000%"/>
    <numFmt numFmtId="168" formatCode="0.00000%"/>
  </numFmts>
  <fonts count="11" x14ac:knownFonts="1"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color indexed="12"/>
      <name val="Calibri"/>
      <family val="2"/>
    </font>
    <font>
      <b/>
      <sz val="10"/>
      <color indexed="12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b/>
      <sz val="10"/>
      <color indexed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8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</cellStyleXfs>
  <cellXfs count="126">
    <xf numFmtId="0" fontId="0" fillId="0" borderId="0" xfId="0"/>
    <xf numFmtId="0" fontId="3" fillId="0" borderId="0" xfId="0" applyFont="1" applyAlignment="1">
      <alignment horizontal="left" vertical="center"/>
    </xf>
    <xf numFmtId="0" fontId="0" fillId="2" borderId="1" xfId="0" applyFill="1" applyBorder="1" applyAlignment="1">
      <alignment vertical="center"/>
    </xf>
    <xf numFmtId="15" fontId="4" fillId="0" borderId="1" xfId="0" applyNumberFormat="1" applyFont="1" applyBorder="1" applyAlignment="1">
      <alignment vertical="center"/>
    </xf>
    <xf numFmtId="15" fontId="5" fillId="0" borderId="0" xfId="0" applyNumberFormat="1" applyFont="1" applyAlignment="1">
      <alignment horizontal="left" vertical="center"/>
    </xf>
    <xf numFmtId="15" fontId="5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7" fillId="0" borderId="1" xfId="0" applyNumberFormat="1" applyFont="1" applyBorder="1"/>
    <xf numFmtId="164" fontId="0" fillId="0" borderId="0" xfId="0" applyNumberFormat="1"/>
    <xf numFmtId="9" fontId="0" fillId="0" borderId="0" xfId="3" applyFont="1"/>
    <xf numFmtId="0" fontId="6" fillId="0" borderId="4" xfId="0" applyFont="1" applyBorder="1"/>
    <xf numFmtId="0" fontId="0" fillId="0" borderId="2" xfId="0" applyBorder="1"/>
    <xf numFmtId="0" fontId="0" fillId="0" borderId="3" xfId="0" applyBorder="1"/>
    <xf numFmtId="164" fontId="9" fillId="0" borderId="1" xfId="0" applyNumberFormat="1" applyFont="1" applyBorder="1"/>
    <xf numFmtId="3" fontId="0" fillId="0" borderId="0" xfId="0" applyNumberFormat="1"/>
    <xf numFmtId="165" fontId="0" fillId="0" borderId="0" xfId="1" applyFont="1"/>
    <xf numFmtId="0" fontId="6" fillId="0" borderId="0" xfId="0" applyFont="1"/>
    <xf numFmtId="0" fontId="2" fillId="0" borderId="0" xfId="0" applyFont="1"/>
    <xf numFmtId="166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167" fontId="0" fillId="0" borderId="1" xfId="0" applyNumberFormat="1" applyBorder="1"/>
    <xf numFmtId="167" fontId="0" fillId="0" borderId="0" xfId="0" applyNumberFormat="1"/>
    <xf numFmtId="168" fontId="0" fillId="0" borderId="0" xfId="3" applyNumberFormat="1" applyFont="1" applyFill="1"/>
    <xf numFmtId="17" fontId="6" fillId="0" borderId="5" xfId="0" applyNumberFormat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17" fontId="6" fillId="0" borderId="6" xfId="0" applyNumberFormat="1" applyFont="1" applyBorder="1" applyAlignment="1">
      <alignment horizontal="center" vertical="center" wrapText="1"/>
    </xf>
    <xf numFmtId="14" fontId="2" fillId="0" borderId="0" xfId="0" applyNumberFormat="1" applyFont="1"/>
    <xf numFmtId="17" fontId="6" fillId="0" borderId="7" xfId="0" applyNumberFormat="1" applyFont="1" applyBorder="1" applyAlignment="1">
      <alignment horizontal="center" vertical="center" wrapText="1"/>
    </xf>
    <xf numFmtId="17" fontId="6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" fontId="6" fillId="0" borderId="9" xfId="0" applyNumberFormat="1" applyFont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 wrapText="1"/>
    </xf>
    <xf numFmtId="17" fontId="6" fillId="0" borderId="6" xfId="0" applyNumberFormat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0" fillId="0" borderId="6" xfId="0" applyBorder="1"/>
    <xf numFmtId="164" fontId="7" fillId="0" borderId="5" xfId="0" applyNumberFormat="1" applyFont="1" applyBorder="1"/>
    <xf numFmtId="0" fontId="0" fillId="0" borderId="10" xfId="0" applyBorder="1"/>
    <xf numFmtId="164" fontId="7" fillId="0" borderId="7" xfId="0" applyNumberFormat="1" applyFont="1" applyBorder="1"/>
    <xf numFmtId="0" fontId="0" fillId="0" borderId="9" xfId="0" applyBorder="1"/>
    <xf numFmtId="164" fontId="7" fillId="0" borderId="8" xfId="0" applyNumberFormat="1" applyFont="1" applyBorder="1"/>
    <xf numFmtId="0" fontId="6" fillId="0" borderId="9" xfId="0" applyFont="1" applyBorder="1" applyAlignment="1">
      <alignment horizontal="left" indent="1"/>
    </xf>
    <xf numFmtId="3" fontId="6" fillId="0" borderId="11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0" fillId="3" borderId="0" xfId="0" applyFill="1"/>
    <xf numFmtId="3" fontId="6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3" fontId="2" fillId="0" borderId="0" xfId="0" applyNumberFormat="1" applyFont="1"/>
    <xf numFmtId="165" fontId="2" fillId="0" borderId="0" xfId="1" applyFont="1"/>
    <xf numFmtId="168" fontId="2" fillId="0" borderId="0" xfId="3" applyNumberFormat="1" applyFont="1" applyFill="1"/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left"/>
    </xf>
    <xf numFmtId="17" fontId="6" fillId="0" borderId="0" xfId="0" applyNumberFormat="1" applyFont="1" applyAlignment="1">
      <alignment horizontal="left"/>
    </xf>
    <xf numFmtId="17" fontId="6" fillId="0" borderId="0" xfId="0" applyNumberFormat="1" applyFont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164" fontId="7" fillId="0" borderId="0" xfId="0" applyNumberFormat="1" applyFont="1"/>
    <xf numFmtId="1" fontId="0" fillId="0" borderId="0" xfId="0" applyNumberFormat="1"/>
    <xf numFmtId="0" fontId="6" fillId="0" borderId="0" xfId="0" applyFont="1" applyAlignment="1">
      <alignment horizontal="left" indent="1"/>
    </xf>
    <xf numFmtId="0" fontId="0" fillId="3" borderId="0" xfId="0" applyFill="1" applyAlignment="1">
      <alignment horizontal="left" indent="1"/>
    </xf>
    <xf numFmtId="3" fontId="0" fillId="0" borderId="0" xfId="0" applyNumberFormat="1" applyAlignment="1">
      <alignment vertical="center"/>
    </xf>
    <xf numFmtId="164" fontId="9" fillId="0" borderId="0" xfId="0" applyNumberFormat="1" applyFont="1"/>
    <xf numFmtId="0" fontId="1" fillId="0" borderId="0" xfId="4"/>
    <xf numFmtId="3" fontId="6" fillId="0" borderId="5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0" fillId="0" borderId="8" xfId="0" applyBorder="1" applyAlignment="1">
      <alignment horizontal="center" vertical="center"/>
    </xf>
    <xf numFmtId="3" fontId="6" fillId="0" borderId="8" xfId="0" applyNumberFormat="1" applyFont="1" applyBorder="1" applyAlignment="1">
      <alignment horizontal="left"/>
    </xf>
    <xf numFmtId="3" fontId="6" fillId="0" borderId="1" xfId="0" applyNumberFormat="1" applyFont="1" applyBorder="1" applyAlignment="1">
      <alignment horizontal="left"/>
    </xf>
    <xf numFmtId="3" fontId="0" fillId="4" borderId="8" xfId="0" applyNumberFormat="1" applyFill="1" applyBorder="1"/>
    <xf numFmtId="3" fontId="0" fillId="0" borderId="1" xfId="0" applyNumberFormat="1" applyBorder="1" applyAlignment="1">
      <alignment vertical="center"/>
    </xf>
    <xf numFmtId="3" fontId="6" fillId="0" borderId="1" xfId="0" applyNumberFormat="1" applyFont="1" applyBorder="1"/>
    <xf numFmtId="3" fontId="6" fillId="0" borderId="0" xfId="0" applyNumberFormat="1" applyFont="1"/>
    <xf numFmtId="3" fontId="6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42" fontId="2" fillId="0" borderId="0" xfId="2" applyFont="1"/>
    <xf numFmtId="0" fontId="2" fillId="3" borderId="0" xfId="0" applyFont="1" applyFill="1"/>
    <xf numFmtId="0" fontId="6" fillId="3" borderId="0" xfId="0" applyFont="1" applyFill="1" applyAlignment="1">
      <alignment horizontal="left"/>
    </xf>
    <xf numFmtId="166" fontId="6" fillId="3" borderId="0" xfId="0" applyNumberFormat="1" applyFont="1" applyFill="1" applyAlignment="1">
      <alignment horizontal="left"/>
    </xf>
    <xf numFmtId="17" fontId="6" fillId="3" borderId="0" xfId="0" applyNumberFormat="1" applyFont="1" applyFill="1" applyAlignment="1">
      <alignment horizontal="left"/>
    </xf>
    <xf numFmtId="17" fontId="6" fillId="3" borderId="1" xfId="0" applyNumberFormat="1" applyFont="1" applyFill="1" applyBorder="1" applyAlignment="1">
      <alignment horizontal="center" vertical="center" wrapText="1"/>
    </xf>
    <xf numFmtId="17" fontId="6" fillId="3" borderId="5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17" fontId="6" fillId="3" borderId="8" xfId="0" applyNumberFormat="1" applyFont="1" applyFill="1" applyBorder="1" applyAlignment="1">
      <alignment horizontal="center" vertical="center" wrapText="1"/>
    </xf>
    <xf numFmtId="0" fontId="0" fillId="3" borderId="6" xfId="0" applyFill="1" applyBorder="1"/>
    <xf numFmtId="164" fontId="7" fillId="3" borderId="5" xfId="0" applyNumberFormat="1" applyFont="1" applyFill="1" applyBorder="1"/>
    <xf numFmtId="165" fontId="2" fillId="3" borderId="0" xfId="1" applyFont="1" applyFill="1" applyBorder="1"/>
    <xf numFmtId="164" fontId="7" fillId="3" borderId="7" xfId="0" applyNumberFormat="1" applyFont="1" applyFill="1" applyBorder="1"/>
    <xf numFmtId="165" fontId="2" fillId="3" borderId="10" xfId="1" applyFont="1" applyFill="1" applyBorder="1"/>
    <xf numFmtId="0" fontId="0" fillId="3" borderId="10" xfId="0" applyFill="1" applyBorder="1"/>
    <xf numFmtId="0" fontId="0" fillId="3" borderId="9" xfId="0" applyFill="1" applyBorder="1"/>
    <xf numFmtId="0" fontId="6" fillId="3" borderId="9" xfId="0" applyFont="1" applyFill="1" applyBorder="1" applyAlignment="1">
      <alignment horizontal="left" indent="1"/>
    </xf>
    <xf numFmtId="164" fontId="9" fillId="3" borderId="1" xfId="0" applyNumberFormat="1" applyFont="1" applyFill="1" applyBorder="1"/>
    <xf numFmtId="3" fontId="2" fillId="3" borderId="0" xfId="0" applyNumberFormat="1" applyFont="1" applyFill="1"/>
    <xf numFmtId="0" fontId="6" fillId="3" borderId="0" xfId="0" applyFont="1" applyFill="1" applyAlignment="1">
      <alignment horizontal="left" indent="1"/>
    </xf>
    <xf numFmtId="3" fontId="0" fillId="3" borderId="0" xfId="0" applyNumberFormat="1" applyFill="1"/>
    <xf numFmtId="164" fontId="7" fillId="3" borderId="8" xfId="0" applyNumberFormat="1" applyFont="1" applyFill="1" applyBorder="1"/>
    <xf numFmtId="165" fontId="2" fillId="3" borderId="0" xfId="1" applyFont="1" applyFill="1"/>
    <xf numFmtId="3" fontId="0" fillId="3" borderId="0" xfId="0" applyNumberFormat="1" applyFill="1" applyAlignment="1">
      <alignment vertical="center"/>
    </xf>
    <xf numFmtId="0" fontId="6" fillId="3" borderId="0" xfId="0" applyFont="1" applyFill="1"/>
    <xf numFmtId="3" fontId="6" fillId="3" borderId="5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3" fontId="0" fillId="5" borderId="8" xfId="0" applyNumberFormat="1" applyFill="1" applyBorder="1"/>
    <xf numFmtId="3" fontId="0" fillId="3" borderId="8" xfId="0" applyNumberFormat="1" applyFill="1" applyBorder="1" applyAlignment="1">
      <alignment vertical="center"/>
    </xf>
    <xf numFmtId="0" fontId="6" fillId="3" borderId="1" xfId="0" applyFont="1" applyFill="1" applyBorder="1" applyAlignment="1">
      <alignment horizontal="center"/>
    </xf>
    <xf numFmtId="3" fontId="6" fillId="3" borderId="1" xfId="0" applyNumberFormat="1" applyFont="1" applyFill="1" applyBorder="1"/>
    <xf numFmtId="3" fontId="6" fillId="3" borderId="0" xfId="0" applyNumberFormat="1" applyFont="1" applyFill="1"/>
    <xf numFmtId="3" fontId="6" fillId="3" borderId="3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6" fillId="0" borderId="8" xfId="0" applyFont="1" applyBorder="1" applyAlignment="1">
      <alignment horizontal="center"/>
    </xf>
    <xf numFmtId="0" fontId="6" fillId="3" borderId="8" xfId="0" applyFont="1" applyFill="1" applyBorder="1" applyAlignment="1">
      <alignment vertical="center"/>
    </xf>
  </cellXfs>
  <cellStyles count="5">
    <cellStyle name="Millares [0]" xfId="1" builtinId="6"/>
    <cellStyle name="Moneda [0]" xfId="2" builtinId="7"/>
    <cellStyle name="Normal" xfId="0" builtinId="0"/>
    <cellStyle name="Normal 3" xfId="4" xr:uid="{A46D6DE4-904A-46B0-B6BB-1A18FF69BACB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BCD\002_Cargos_Tarifarios\2025\02%20Febrero\Pre\Ajustes%20y%20recargos%202502_pre.xlsm" TargetMode="External"/><Relationship Id="rId1" Type="http://schemas.openxmlformats.org/officeDocument/2006/relationships/externalLinkPath" Target="Ajustes%20y%20recargos%202502_p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trada AR"/>
      <sheetName val="Entrada TD"/>
      <sheetName val="Entrada CDRGL"/>
      <sheetName val="Entrada 7TRAN"/>
      <sheetName val="Reliquidación TD"/>
      <sheetName val="CUADRO DE PAGO TD"/>
      <sheetName val="Reliquidación AR"/>
      <sheetName val="CUADRO DE PAGO AR"/>
      <sheetName val="Reliquidación CD RGL"/>
      <sheetName val="CUADRO DE PAGO CD RGL"/>
      <sheetName val="Reliquidación 7TRAN"/>
      <sheetName val="CUADRO DE PAGO 7TRAN"/>
    </sheetNames>
    <definedNames>
      <definedName name="CrearLibroAR"/>
      <definedName name="RescataDatos"/>
      <definedName name="RescataDatos_7TRAN"/>
      <definedName name="RescataDatos_CDRGL"/>
      <definedName name="RescataDatos_TD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E62AA-8A04-4D20-A2C7-8D5FA86D11ED}">
  <sheetPr codeName="Hoja8">
    <tabColor theme="0"/>
  </sheetPr>
  <dimension ref="B2:N45"/>
  <sheetViews>
    <sheetView showGridLines="0" tabSelected="1" zoomScale="85" zoomScaleNormal="85" workbookViewId="0"/>
  </sheetViews>
  <sheetFormatPr baseColWidth="10" defaultRowHeight="12.75" x14ac:dyDescent="0.2"/>
  <cols>
    <col min="2" max="2" width="3.42578125" customWidth="1"/>
    <col min="3" max="3" width="16.140625" customWidth="1"/>
    <col min="4" max="4" width="49.5703125" bestFit="1" customWidth="1"/>
    <col min="5" max="5" width="16.7109375" customWidth="1"/>
    <col min="6" max="6" width="12.85546875" customWidth="1"/>
    <col min="7" max="7" width="15.85546875" customWidth="1"/>
    <col min="8" max="9" width="13.140625" customWidth="1"/>
    <col min="10" max="10" width="13.5703125" bestFit="1" customWidth="1"/>
    <col min="11" max="11" width="17.85546875" customWidth="1"/>
    <col min="12" max="12" width="18.42578125" customWidth="1"/>
    <col min="13" max="13" width="13.140625" customWidth="1"/>
    <col min="14" max="14" width="11.42578125" customWidth="1"/>
    <col min="15" max="15" width="11.85546875" bestFit="1" customWidth="1"/>
    <col min="16" max="16" width="13.28515625" customWidth="1"/>
    <col min="17" max="17" width="11.5703125" customWidth="1"/>
    <col min="18" max="18" width="9.7109375" bestFit="1" customWidth="1"/>
    <col min="19" max="19" width="13.28515625" bestFit="1" customWidth="1"/>
  </cols>
  <sheetData>
    <row r="2" spans="2:14" x14ac:dyDescent="0.2">
      <c r="B2" s="1" t="s">
        <v>0</v>
      </c>
      <c r="D2" s="1"/>
      <c r="E2" s="2" t="s">
        <v>1</v>
      </c>
      <c r="F2" s="2"/>
      <c r="G2" s="3" t="s">
        <v>2</v>
      </c>
    </row>
    <row r="3" spans="2:14" x14ac:dyDescent="0.2">
      <c r="B3" s="4">
        <v>45689</v>
      </c>
      <c r="C3" s="4"/>
      <c r="D3" s="5"/>
    </row>
    <row r="4" spans="2:14" x14ac:dyDescent="0.2">
      <c r="B4" s="1"/>
    </row>
    <row r="6" spans="2:14" x14ac:dyDescent="0.2">
      <c r="B6" s="6" t="s">
        <v>3</v>
      </c>
      <c r="C6" s="6" t="s">
        <v>4</v>
      </c>
      <c r="D6" s="6" t="s">
        <v>5</v>
      </c>
      <c r="E6" s="6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</row>
    <row r="7" spans="2:14" x14ac:dyDescent="0.2">
      <c r="B7" s="6"/>
      <c r="C7" s="6"/>
      <c r="D7" s="6"/>
      <c r="E7" s="6"/>
      <c r="F7" s="7" t="s">
        <v>12</v>
      </c>
      <c r="G7" s="7" t="s">
        <v>12</v>
      </c>
      <c r="H7" s="7" t="s">
        <v>12</v>
      </c>
      <c r="I7" s="7" t="s">
        <v>12</v>
      </c>
      <c r="J7" s="7" t="s">
        <v>13</v>
      </c>
    </row>
    <row r="8" spans="2:14" x14ac:dyDescent="0.2">
      <c r="B8" s="8">
        <v>1</v>
      </c>
      <c r="C8" s="8" t="s">
        <v>14</v>
      </c>
      <c r="D8" s="9" t="str">
        <f>"resumen_montos_facturados_TD_AR_CDpRGL"&amp;"_"&amp;TEXT($B$3,"yymm")&amp;$G$2&amp;".xlsx"</f>
        <v>resumen_montos_facturados_TD_AR_CDpRGL_2502pre.xlsx</v>
      </c>
      <c r="E8" s="8" t="s">
        <v>14</v>
      </c>
      <c r="F8" s="10">
        <v>5858488</v>
      </c>
      <c r="G8" s="10">
        <v>3604124</v>
      </c>
      <c r="H8" s="10">
        <v>182555</v>
      </c>
      <c r="I8" s="10">
        <v>50278</v>
      </c>
      <c r="J8" s="10">
        <v>-41839062.58368247</v>
      </c>
      <c r="K8" s="11"/>
      <c r="L8" s="11"/>
      <c r="M8" s="12"/>
      <c r="N8" s="12"/>
    </row>
    <row r="9" spans="2:14" x14ac:dyDescent="0.2">
      <c r="B9" s="8">
        <v>2</v>
      </c>
      <c r="C9" s="8" t="s">
        <v>15</v>
      </c>
      <c r="D9" s="9" t="str">
        <f t="shared" ref="D9:D43" si="0">"resumen_montos_facturados_TD_AR_CDpRGL"&amp;"_"&amp;TEXT($B$3,"yymm")&amp;$G$2&amp;".xlsx"</f>
        <v>resumen_montos_facturados_TD_AR_CDpRGL_2502pre.xlsx</v>
      </c>
      <c r="E9" s="8" t="s">
        <v>15</v>
      </c>
      <c r="F9" s="10">
        <v>1351299</v>
      </c>
      <c r="G9" s="10">
        <v>4568128</v>
      </c>
      <c r="H9" s="10">
        <v>2684</v>
      </c>
      <c r="I9" s="10">
        <v>40256</v>
      </c>
      <c r="J9" s="10">
        <v>-38050656.1264368</v>
      </c>
      <c r="K9" s="11"/>
      <c r="L9" s="11"/>
      <c r="M9" s="12"/>
      <c r="N9" s="12"/>
    </row>
    <row r="10" spans="2:14" x14ac:dyDescent="0.2">
      <c r="B10" s="8">
        <v>3</v>
      </c>
      <c r="C10" s="8" t="s">
        <v>16</v>
      </c>
      <c r="D10" s="9" t="str">
        <f t="shared" si="0"/>
        <v>resumen_montos_facturados_TD_AR_CDpRGL_2502pre.xlsx</v>
      </c>
      <c r="E10" s="8" t="s">
        <v>16</v>
      </c>
      <c r="F10" s="10">
        <v>3609797</v>
      </c>
      <c r="G10" s="10">
        <v>13736630.449999999</v>
      </c>
      <c r="H10" s="10">
        <v>0</v>
      </c>
      <c r="I10" s="10">
        <v>32662</v>
      </c>
      <c r="J10" s="10">
        <v>2673920.9788032528</v>
      </c>
      <c r="K10" s="11"/>
      <c r="L10" s="11"/>
      <c r="M10" s="12"/>
      <c r="N10" s="12"/>
    </row>
    <row r="11" spans="2:14" x14ac:dyDescent="0.2">
      <c r="B11" s="8">
        <v>4</v>
      </c>
      <c r="C11" s="8" t="s">
        <v>17</v>
      </c>
      <c r="D11" s="9" t="str">
        <f t="shared" si="0"/>
        <v>resumen_montos_facturados_TD_AR_CDpRGL_2502pre.xlsx</v>
      </c>
      <c r="E11" s="8" t="s">
        <v>17</v>
      </c>
      <c r="F11" s="10">
        <v>497568</v>
      </c>
      <c r="G11" s="10">
        <v>1473676</v>
      </c>
      <c r="H11" s="10">
        <v>0</v>
      </c>
      <c r="I11" s="10">
        <v>0</v>
      </c>
      <c r="J11" s="10">
        <v>-1053640.0816964631</v>
      </c>
      <c r="K11" s="11"/>
      <c r="L11" s="11"/>
      <c r="M11" s="12"/>
      <c r="N11" s="12"/>
    </row>
    <row r="12" spans="2:14" ht="12" customHeight="1" x14ac:dyDescent="0.2">
      <c r="B12" s="8">
        <v>5</v>
      </c>
      <c r="C12" s="8" t="s">
        <v>18</v>
      </c>
      <c r="D12" s="9" t="str">
        <f t="shared" si="0"/>
        <v>resumen_montos_facturados_TD_AR_CDpRGL_2502pre.xlsx</v>
      </c>
      <c r="E12" s="8" t="s">
        <v>18</v>
      </c>
      <c r="F12" s="10">
        <v>179075049.39700001</v>
      </c>
      <c r="G12" s="10">
        <v>449687404.71100003</v>
      </c>
      <c r="H12" s="10">
        <v>2809205.594</v>
      </c>
      <c r="I12" s="10">
        <v>-2192337.3640000001</v>
      </c>
      <c r="J12" s="10">
        <v>-41583747.589275807</v>
      </c>
      <c r="K12" s="11"/>
      <c r="L12" s="11"/>
      <c r="M12" s="12"/>
      <c r="N12" s="12"/>
    </row>
    <row r="13" spans="2:14" x14ac:dyDescent="0.2">
      <c r="B13" s="8">
        <v>6</v>
      </c>
      <c r="C13" s="8" t="s">
        <v>19</v>
      </c>
      <c r="D13" s="9" t="str">
        <f t="shared" si="0"/>
        <v>resumen_montos_facturados_TD_AR_CDpRGL_2502pre.xlsx</v>
      </c>
      <c r="E13" s="8" t="s">
        <v>20</v>
      </c>
      <c r="F13" s="10">
        <v>73958.002999999997</v>
      </c>
      <c r="G13" s="10">
        <v>1001024.439</v>
      </c>
      <c r="H13" s="10">
        <v>0</v>
      </c>
      <c r="I13" s="10">
        <v>0</v>
      </c>
      <c r="J13" s="10">
        <v>206179.70612315621</v>
      </c>
      <c r="K13" s="11"/>
      <c r="L13" s="11"/>
      <c r="M13" s="12"/>
      <c r="N13" s="12"/>
    </row>
    <row r="14" spans="2:14" x14ac:dyDescent="0.2">
      <c r="B14" s="8">
        <v>7</v>
      </c>
      <c r="C14" s="8" t="s">
        <v>21</v>
      </c>
      <c r="D14" s="9" t="str">
        <f t="shared" si="0"/>
        <v>resumen_montos_facturados_TD_AR_CDpRGL_2502pre.xlsx</v>
      </c>
      <c r="E14" s="8" t="s">
        <v>21</v>
      </c>
      <c r="F14" s="10">
        <v>12259688.81893453</v>
      </c>
      <c r="G14" s="10">
        <v>19502529.916000001</v>
      </c>
      <c r="H14" s="10">
        <v>296192.02</v>
      </c>
      <c r="I14" s="10">
        <v>56319.735999999997</v>
      </c>
      <c r="J14" s="10">
        <v>-1959737.3620015059</v>
      </c>
      <c r="K14" s="11"/>
      <c r="L14" s="11"/>
      <c r="M14" s="12"/>
      <c r="N14" s="12"/>
    </row>
    <row r="15" spans="2:14" x14ac:dyDescent="0.2">
      <c r="B15" s="8">
        <v>8</v>
      </c>
      <c r="C15" s="8" t="s">
        <v>22</v>
      </c>
      <c r="D15" s="9" t="str">
        <f t="shared" si="0"/>
        <v>resumen_montos_facturados_TD_AR_CDpRGL_2502pre.xlsx</v>
      </c>
      <c r="E15" s="8" t="s">
        <v>22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1"/>
      <c r="L15" s="11"/>
      <c r="M15" s="12"/>
      <c r="N15" s="12"/>
    </row>
    <row r="16" spans="2:14" x14ac:dyDescent="0.2">
      <c r="B16" s="8">
        <v>9</v>
      </c>
      <c r="C16" s="8" t="s">
        <v>23</v>
      </c>
      <c r="D16" s="9" t="str">
        <f t="shared" si="0"/>
        <v>resumen_montos_facturados_TD_AR_CDpRGL_2502pre.xlsx</v>
      </c>
      <c r="E16" s="8" t="s">
        <v>23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1"/>
      <c r="L16" s="11"/>
      <c r="M16" s="12"/>
      <c r="N16" s="12"/>
    </row>
    <row r="17" spans="2:14" x14ac:dyDescent="0.2">
      <c r="B17" s="8">
        <v>10</v>
      </c>
      <c r="C17" s="8" t="s">
        <v>24</v>
      </c>
      <c r="D17" s="9" t="str">
        <f t="shared" si="0"/>
        <v>resumen_montos_facturados_TD_AR_CDpRGL_2502pre.xlsx</v>
      </c>
      <c r="E17" s="8" t="s">
        <v>24</v>
      </c>
      <c r="F17" s="10">
        <v>126669215.45100001</v>
      </c>
      <c r="G17" s="10">
        <v>653146218.52836204</v>
      </c>
      <c r="H17" s="10">
        <v>1363727.5</v>
      </c>
      <c r="I17" s="10">
        <v>1685071.2050000001</v>
      </c>
      <c r="J17" s="10">
        <v>260960733.77677229</v>
      </c>
      <c r="K17" s="11"/>
      <c r="L17" s="11"/>
      <c r="M17" s="12"/>
      <c r="N17" s="12"/>
    </row>
    <row r="18" spans="2:14" x14ac:dyDescent="0.2">
      <c r="B18" s="8">
        <v>11</v>
      </c>
      <c r="C18" s="8" t="s">
        <v>25</v>
      </c>
      <c r="D18" s="9" t="str">
        <f t="shared" si="0"/>
        <v>resumen_montos_facturados_TD_AR_CDpRGL_2502pre.xlsx</v>
      </c>
      <c r="E18" s="8" t="s">
        <v>25</v>
      </c>
      <c r="F18" s="10">
        <v>13865</v>
      </c>
      <c r="G18" s="10">
        <v>339424.397</v>
      </c>
      <c r="H18" s="10">
        <v>0</v>
      </c>
      <c r="I18" s="10">
        <v>0</v>
      </c>
      <c r="J18" s="10">
        <v>110080.43009612169</v>
      </c>
      <c r="K18" s="11"/>
      <c r="L18" s="11"/>
      <c r="M18" s="12"/>
      <c r="N18" s="12"/>
    </row>
    <row r="19" spans="2:14" x14ac:dyDescent="0.2">
      <c r="B19" s="8">
        <v>12</v>
      </c>
      <c r="C19" s="8" t="s">
        <v>26</v>
      </c>
      <c r="D19" s="9" t="str">
        <f t="shared" si="0"/>
        <v>resumen_montos_facturados_TD_AR_CDpRGL_2502pre.xlsx</v>
      </c>
      <c r="E19" s="8" t="s">
        <v>26</v>
      </c>
      <c r="F19" s="10">
        <v>37453496.123000003</v>
      </c>
      <c r="G19" s="10">
        <v>71144273.245000005</v>
      </c>
      <c r="H19" s="10">
        <v>780328.14</v>
      </c>
      <c r="I19" s="10">
        <v>210386.84599999999</v>
      </c>
      <c r="J19" s="10">
        <v>-13021314.578638099</v>
      </c>
      <c r="K19" s="11"/>
      <c r="L19" s="11"/>
      <c r="M19" s="12"/>
      <c r="N19" s="12"/>
    </row>
    <row r="20" spans="2:14" x14ac:dyDescent="0.2">
      <c r="B20" s="8">
        <v>13</v>
      </c>
      <c r="C20" s="8" t="s">
        <v>27</v>
      </c>
      <c r="D20" s="9" t="str">
        <f t="shared" si="0"/>
        <v>resumen_montos_facturados_TD_AR_CDpRGL_2502pre.xlsx</v>
      </c>
      <c r="E20" s="8" t="s">
        <v>27</v>
      </c>
      <c r="F20" s="10">
        <v>2055527.727</v>
      </c>
      <c r="G20" s="10">
        <v>17009823.287999999</v>
      </c>
      <c r="H20" s="10">
        <v>0</v>
      </c>
      <c r="I20" s="10">
        <v>27099.214</v>
      </c>
      <c r="J20" s="10">
        <v>-1034863.177458393</v>
      </c>
      <c r="K20" s="11"/>
      <c r="L20" s="11"/>
      <c r="M20" s="12"/>
      <c r="N20" s="12"/>
    </row>
    <row r="21" spans="2:14" x14ac:dyDescent="0.2">
      <c r="B21" s="8">
        <v>14</v>
      </c>
      <c r="C21" s="8" t="s">
        <v>28</v>
      </c>
      <c r="D21" s="9" t="str">
        <f t="shared" si="0"/>
        <v>resumen_montos_facturados_TD_AR_CDpRGL_2502pre.xlsx</v>
      </c>
      <c r="E21" s="8" t="s">
        <v>28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1"/>
      <c r="L21" s="11"/>
      <c r="M21" s="12"/>
      <c r="N21" s="12"/>
    </row>
    <row r="22" spans="2:14" x14ac:dyDescent="0.2">
      <c r="B22" s="8">
        <v>15</v>
      </c>
      <c r="C22" s="8" t="s">
        <v>29</v>
      </c>
      <c r="D22" s="9" t="str">
        <f t="shared" si="0"/>
        <v>resumen_montos_facturados_TD_AR_CDpRGL_2502pre.xlsx</v>
      </c>
      <c r="E22" s="8" t="s">
        <v>29</v>
      </c>
      <c r="F22" s="10">
        <v>1387239</v>
      </c>
      <c r="G22" s="10">
        <v>7103391.9000000004</v>
      </c>
      <c r="H22" s="10">
        <v>378</v>
      </c>
      <c r="I22" s="10">
        <v>28244</v>
      </c>
      <c r="J22" s="10">
        <v>-63592505.633892164</v>
      </c>
      <c r="K22" s="11"/>
      <c r="L22" s="11"/>
      <c r="M22" s="12"/>
      <c r="N22" s="12"/>
    </row>
    <row r="23" spans="2:14" x14ac:dyDescent="0.2">
      <c r="B23" s="8">
        <v>16</v>
      </c>
      <c r="C23" s="8" t="s">
        <v>30</v>
      </c>
      <c r="D23" s="9" t="str">
        <f t="shared" si="0"/>
        <v>resumen_montos_facturados_TD_AR_CDpRGL_2502pre.xlsx</v>
      </c>
      <c r="E23" s="8" t="s">
        <v>30</v>
      </c>
      <c r="F23" s="10">
        <v>12579642</v>
      </c>
      <c r="G23" s="10">
        <v>14055928</v>
      </c>
      <c r="H23" s="10">
        <v>805237</v>
      </c>
      <c r="I23" s="10">
        <v>160722</v>
      </c>
      <c r="J23" s="10">
        <v>5905533.1695578322</v>
      </c>
      <c r="K23" s="11"/>
      <c r="L23" s="11"/>
      <c r="M23" s="12"/>
      <c r="N23" s="12"/>
    </row>
    <row r="24" spans="2:14" x14ac:dyDescent="0.2">
      <c r="B24" s="8">
        <v>17</v>
      </c>
      <c r="C24" s="8" t="s">
        <v>31</v>
      </c>
      <c r="D24" s="9" t="str">
        <f t="shared" si="0"/>
        <v>resumen_montos_facturados_TD_AR_CDpRGL_2502pre.xlsx</v>
      </c>
      <c r="E24" s="8" t="s">
        <v>31</v>
      </c>
      <c r="F24" s="10">
        <v>1658481</v>
      </c>
      <c r="G24" s="10">
        <v>13698754</v>
      </c>
      <c r="H24" s="10">
        <v>1</v>
      </c>
      <c r="I24" s="10">
        <v>81836</v>
      </c>
      <c r="J24" s="10">
        <v>1155083.8368319599</v>
      </c>
      <c r="K24" s="11"/>
      <c r="L24" s="11"/>
      <c r="M24" s="12"/>
      <c r="N24" s="12"/>
    </row>
    <row r="25" spans="2:14" x14ac:dyDescent="0.2">
      <c r="B25" s="8">
        <v>18</v>
      </c>
      <c r="C25" s="8" t="s">
        <v>32</v>
      </c>
      <c r="D25" s="9" t="str">
        <f t="shared" si="0"/>
        <v>resumen_montos_facturados_TD_AR_CDpRGL_2502pre.xlsx</v>
      </c>
      <c r="E25" s="8" t="s">
        <v>32</v>
      </c>
      <c r="F25" s="10">
        <v>784466</v>
      </c>
      <c r="G25" s="10">
        <v>4993205</v>
      </c>
      <c r="H25" s="10">
        <v>273368</v>
      </c>
      <c r="I25" s="10">
        <v>41834</v>
      </c>
      <c r="J25" s="10">
        <v>-32823643.92444374</v>
      </c>
      <c r="K25" s="11"/>
      <c r="L25" s="11"/>
      <c r="M25" s="12"/>
      <c r="N25" s="12"/>
    </row>
    <row r="26" spans="2:14" x14ac:dyDescent="0.2">
      <c r="B26" s="8">
        <v>19</v>
      </c>
      <c r="C26" s="8" t="s">
        <v>33</v>
      </c>
      <c r="D26" s="9" t="str">
        <f t="shared" si="0"/>
        <v>resumen_montos_facturados_TD_AR_CDpRGL_2502pre.xlsx</v>
      </c>
      <c r="E26" s="8" t="s">
        <v>33</v>
      </c>
      <c r="F26" s="10">
        <v>2279267</v>
      </c>
      <c r="G26" s="10">
        <v>2372370</v>
      </c>
      <c r="H26" s="10">
        <v>108079</v>
      </c>
      <c r="I26" s="10">
        <v>8368</v>
      </c>
      <c r="J26" s="10">
        <v>-22813831.780191399</v>
      </c>
      <c r="K26" s="11"/>
      <c r="L26" s="11"/>
      <c r="M26" s="12"/>
      <c r="N26" s="12"/>
    </row>
    <row r="27" spans="2:14" x14ac:dyDescent="0.2">
      <c r="B27" s="8">
        <v>20</v>
      </c>
      <c r="C27" s="8" t="s">
        <v>34</v>
      </c>
      <c r="D27" s="9" t="str">
        <f t="shared" si="0"/>
        <v>resumen_montos_facturados_TD_AR_CDpRGL_2502pre.xlsx</v>
      </c>
      <c r="E27" s="8" t="s">
        <v>34</v>
      </c>
      <c r="F27" s="10">
        <v>5547113</v>
      </c>
      <c r="G27" s="10">
        <v>8393589</v>
      </c>
      <c r="H27" s="10">
        <v>385170</v>
      </c>
      <c r="I27" s="10">
        <v>97962</v>
      </c>
      <c r="J27" s="10">
        <v>1050055.716345788</v>
      </c>
      <c r="K27" s="11"/>
      <c r="L27" s="11"/>
      <c r="M27" s="12"/>
      <c r="N27" s="12"/>
    </row>
    <row r="28" spans="2:14" x14ac:dyDescent="0.2">
      <c r="B28" s="8">
        <v>21</v>
      </c>
      <c r="C28" s="8" t="s">
        <v>35</v>
      </c>
      <c r="D28" s="9" t="str">
        <f t="shared" si="0"/>
        <v>resumen_montos_facturados_TD_AR_CDpRGL_2502pre.xlsx</v>
      </c>
      <c r="E28" s="8" t="s">
        <v>35</v>
      </c>
      <c r="F28" s="10">
        <v>20343709.010000002</v>
      </c>
      <c r="G28" s="10">
        <v>59942717.369999997</v>
      </c>
      <c r="H28" s="10">
        <v>244851.97099999999</v>
      </c>
      <c r="I28" s="10">
        <v>182729</v>
      </c>
      <c r="J28" s="10">
        <v>13675629.573104011</v>
      </c>
      <c r="K28" s="11"/>
      <c r="L28" s="11"/>
      <c r="M28" s="12"/>
      <c r="N28" s="12"/>
    </row>
    <row r="29" spans="2:14" x14ac:dyDescent="0.2">
      <c r="B29" s="8">
        <v>22</v>
      </c>
      <c r="C29" s="8" t="s">
        <v>36</v>
      </c>
      <c r="D29" s="9" t="str">
        <f t="shared" si="0"/>
        <v>resumen_montos_facturados_TD_AR_CDpRGL_2502pre.xlsx</v>
      </c>
      <c r="E29" s="8" t="s">
        <v>36</v>
      </c>
      <c r="F29" s="10">
        <v>7232589.8899999997</v>
      </c>
      <c r="G29" s="10">
        <v>4284916.54</v>
      </c>
      <c r="H29" s="10">
        <v>221082.74</v>
      </c>
      <c r="I29" s="10">
        <v>24298</v>
      </c>
      <c r="J29" s="10">
        <v>2384982.5017568842</v>
      </c>
      <c r="K29" s="11"/>
      <c r="L29" s="11"/>
      <c r="M29" s="12"/>
      <c r="N29" s="12"/>
    </row>
    <row r="30" spans="2:14" x14ac:dyDescent="0.2">
      <c r="B30" s="8">
        <v>23</v>
      </c>
      <c r="C30" s="8" t="s">
        <v>37</v>
      </c>
      <c r="D30" s="9" t="str">
        <f t="shared" si="0"/>
        <v>resumen_montos_facturados_TD_AR_CDpRGL_2502pre.xlsx</v>
      </c>
      <c r="E30" s="8" t="s">
        <v>37</v>
      </c>
      <c r="F30" s="10">
        <v>37963452.560000002</v>
      </c>
      <c r="G30" s="10">
        <v>92895852.049999997</v>
      </c>
      <c r="H30" s="10">
        <v>274390.12</v>
      </c>
      <c r="I30" s="10">
        <v>269443.40000000002</v>
      </c>
      <c r="J30" s="10">
        <v>22130109.269522339</v>
      </c>
      <c r="K30" s="11"/>
      <c r="L30" s="11"/>
      <c r="M30" s="12"/>
      <c r="N30" s="12"/>
    </row>
    <row r="31" spans="2:14" x14ac:dyDescent="0.2">
      <c r="B31" s="8">
        <v>24</v>
      </c>
      <c r="C31" s="8" t="s">
        <v>38</v>
      </c>
      <c r="D31" s="9" t="str">
        <f t="shared" si="0"/>
        <v>resumen_montos_facturados_TD_AR_CDpRGL_2502pre.xlsx</v>
      </c>
      <c r="E31" s="8" t="s">
        <v>38</v>
      </c>
      <c r="F31" s="10">
        <v>2775139</v>
      </c>
      <c r="G31" s="10">
        <v>3228410</v>
      </c>
      <c r="H31" s="10">
        <v>34546</v>
      </c>
      <c r="I31" s="10">
        <v>15593</v>
      </c>
      <c r="J31" s="10">
        <v>3298415.9145885999</v>
      </c>
      <c r="K31" s="11"/>
      <c r="L31" s="11"/>
      <c r="M31" s="12"/>
      <c r="N31" s="12"/>
    </row>
    <row r="32" spans="2:14" x14ac:dyDescent="0.2">
      <c r="B32" s="8">
        <v>25</v>
      </c>
      <c r="C32" s="8" t="s">
        <v>39</v>
      </c>
      <c r="D32" s="9" t="str">
        <f t="shared" si="0"/>
        <v>resumen_montos_facturados_TD_AR_CDpRGL_2502pre.xlsx</v>
      </c>
      <c r="E32" s="8" t="s">
        <v>39</v>
      </c>
      <c r="F32" s="10">
        <v>47169688.200000003</v>
      </c>
      <c r="G32" s="10">
        <v>129845747.15020999</v>
      </c>
      <c r="H32" s="10">
        <v>2333169.5</v>
      </c>
      <c r="I32" s="10">
        <v>871069.2</v>
      </c>
      <c r="J32" s="10">
        <v>23997661.33843476</v>
      </c>
      <c r="K32" s="11"/>
      <c r="L32" s="11"/>
      <c r="M32" s="12"/>
      <c r="N32" s="12"/>
    </row>
    <row r="33" spans="2:14" x14ac:dyDescent="0.2">
      <c r="B33" s="8">
        <v>26</v>
      </c>
      <c r="C33" s="8" t="s">
        <v>40</v>
      </c>
      <c r="D33" s="9" t="str">
        <f t="shared" si="0"/>
        <v>resumen_montos_facturados_TD_AR_CDpRGL_2502pre.xlsx</v>
      </c>
      <c r="E33" s="8" t="s">
        <v>40</v>
      </c>
      <c r="F33" s="10">
        <v>2024167.1</v>
      </c>
      <c r="G33" s="10">
        <v>3180908.1</v>
      </c>
      <c r="H33" s="10">
        <v>43633</v>
      </c>
      <c r="I33" s="10">
        <v>103787.1</v>
      </c>
      <c r="J33" s="10">
        <v>379546.21103183471</v>
      </c>
      <c r="K33" s="11"/>
      <c r="L33" s="11"/>
      <c r="M33" s="12"/>
      <c r="N33" s="12"/>
    </row>
    <row r="34" spans="2:14" x14ac:dyDescent="0.2">
      <c r="B34" s="8">
        <v>27</v>
      </c>
      <c r="C34" s="8" t="s">
        <v>41</v>
      </c>
      <c r="D34" s="9" t="str">
        <f t="shared" si="0"/>
        <v>resumen_montos_facturados_TD_AR_CDpRGL_2502pre.xlsx</v>
      </c>
      <c r="E34" s="8" t="s">
        <v>41</v>
      </c>
      <c r="F34" s="10">
        <v>1599535.9</v>
      </c>
      <c r="G34" s="10">
        <v>11659642.3651</v>
      </c>
      <c r="H34" s="10">
        <v>2846</v>
      </c>
      <c r="I34" s="10">
        <v>57695</v>
      </c>
      <c r="J34" s="10">
        <v>1429508.213241386</v>
      </c>
      <c r="K34" s="11"/>
      <c r="L34" s="11"/>
      <c r="M34" s="12"/>
      <c r="N34" s="12"/>
    </row>
    <row r="35" spans="2:14" x14ac:dyDescent="0.2">
      <c r="B35" s="8">
        <v>28</v>
      </c>
      <c r="C35" s="8" t="s">
        <v>42</v>
      </c>
      <c r="D35" s="9" t="str">
        <f t="shared" si="0"/>
        <v>resumen_montos_facturados_TD_AR_CDpRGL_2502pre.xlsx</v>
      </c>
      <c r="E35" s="8" t="s">
        <v>42</v>
      </c>
      <c r="F35" s="10">
        <v>8000439.7999999998</v>
      </c>
      <c r="G35" s="10">
        <v>6815829.9396000002</v>
      </c>
      <c r="H35" s="10">
        <v>335599</v>
      </c>
      <c r="I35" s="10">
        <v>39272.500200000002</v>
      </c>
      <c r="J35" s="10">
        <v>2017372.962435588</v>
      </c>
      <c r="K35" s="11"/>
      <c r="L35" s="11"/>
      <c r="M35" s="12"/>
      <c r="N35" s="12"/>
    </row>
    <row r="36" spans="2:14" x14ac:dyDescent="0.2">
      <c r="B36" s="8">
        <v>29</v>
      </c>
      <c r="C36" s="8" t="s">
        <v>43</v>
      </c>
      <c r="D36" s="9" t="str">
        <f t="shared" si="0"/>
        <v>resumen_montos_facturados_TD_AR_CDpRGL_2502pre.xlsx</v>
      </c>
      <c r="E36" s="8" t="s">
        <v>43</v>
      </c>
      <c r="F36" s="10">
        <v>9889670.5999999996</v>
      </c>
      <c r="G36" s="10">
        <v>5446425.7867000001</v>
      </c>
      <c r="H36" s="10">
        <v>260291</v>
      </c>
      <c r="I36" s="10">
        <v>76425</v>
      </c>
      <c r="J36" s="10">
        <v>807996.32578038471</v>
      </c>
      <c r="K36" s="11"/>
      <c r="L36" s="11"/>
      <c r="M36" s="12"/>
      <c r="N36" s="12"/>
    </row>
    <row r="37" spans="2:14" x14ac:dyDescent="0.2">
      <c r="B37" s="8">
        <v>30</v>
      </c>
      <c r="C37" s="8" t="s">
        <v>44</v>
      </c>
      <c r="D37" s="9" t="str">
        <f t="shared" si="0"/>
        <v>resumen_montos_facturados_TD_AR_CDpRGL_2502pre.xlsx</v>
      </c>
      <c r="E37" s="8" t="s">
        <v>45</v>
      </c>
      <c r="F37" s="10">
        <v>631486</v>
      </c>
      <c r="G37" s="10">
        <v>991478</v>
      </c>
      <c r="H37" s="10">
        <v>34425</v>
      </c>
      <c r="I37" s="10">
        <v>12094</v>
      </c>
      <c r="J37" s="10">
        <v>296330.20503177837</v>
      </c>
      <c r="K37" s="11"/>
      <c r="L37" s="11"/>
      <c r="M37" s="12"/>
      <c r="N37" s="12"/>
    </row>
    <row r="38" spans="2:14" x14ac:dyDescent="0.2">
      <c r="B38" s="8">
        <v>31</v>
      </c>
      <c r="C38" s="8" t="s">
        <v>46</v>
      </c>
      <c r="D38" s="9" t="str">
        <f t="shared" si="0"/>
        <v>resumen_montos_facturados_TD_AR_CDpRGL_2502pre.xlsx</v>
      </c>
      <c r="E38" s="8" t="s">
        <v>46</v>
      </c>
      <c r="F38" s="10">
        <v>3488306.997</v>
      </c>
      <c r="G38" s="10">
        <v>17890534.035999998</v>
      </c>
      <c r="H38" s="10">
        <v>6102</v>
      </c>
      <c r="I38" s="10">
        <v>25475.017</v>
      </c>
      <c r="J38" s="10">
        <v>2533327.0820750138</v>
      </c>
      <c r="K38" s="11"/>
      <c r="L38" s="11"/>
      <c r="M38" s="12"/>
      <c r="N38" s="12"/>
    </row>
    <row r="39" spans="2:14" x14ac:dyDescent="0.2">
      <c r="B39" s="8">
        <v>32</v>
      </c>
      <c r="C39" s="8" t="s">
        <v>47</v>
      </c>
      <c r="D39" s="9" t="str">
        <f t="shared" si="0"/>
        <v>resumen_montos_facturados_TD_AR_CDpRGL_2502pre.xlsx</v>
      </c>
      <c r="E39" s="8" t="s">
        <v>47</v>
      </c>
      <c r="F39" s="10">
        <v>5923962.2429999998</v>
      </c>
      <c r="G39" s="10">
        <v>26188400.357999999</v>
      </c>
      <c r="H39" s="10">
        <v>15941.1</v>
      </c>
      <c r="I39" s="10">
        <v>14894.528</v>
      </c>
      <c r="J39" s="10">
        <v>4693904.9811914973</v>
      </c>
      <c r="K39" s="11"/>
      <c r="L39" s="11"/>
      <c r="M39" s="12"/>
      <c r="N39" s="12"/>
    </row>
    <row r="40" spans="2:14" x14ac:dyDescent="0.2">
      <c r="B40" s="8">
        <v>33</v>
      </c>
      <c r="C40" s="8" t="s">
        <v>48</v>
      </c>
      <c r="D40" s="9" t="str">
        <f t="shared" si="0"/>
        <v>resumen_montos_facturados_TD_AR_CDpRGL_2502pre.xlsx</v>
      </c>
      <c r="E40" s="8" t="s">
        <v>48</v>
      </c>
      <c r="F40" s="10">
        <v>10363964.34</v>
      </c>
      <c r="G40" s="10">
        <v>48028105.623999998</v>
      </c>
      <c r="H40" s="10">
        <v>79292.58</v>
      </c>
      <c r="I40" s="10">
        <v>73327.173999999999</v>
      </c>
      <c r="J40" s="10">
        <v>7778243.9990959279</v>
      </c>
      <c r="K40" s="11"/>
      <c r="L40" s="11"/>
      <c r="M40" s="12"/>
      <c r="N40" s="12"/>
    </row>
    <row r="41" spans="2:14" x14ac:dyDescent="0.2">
      <c r="B41" s="8">
        <v>34</v>
      </c>
      <c r="C41" s="8" t="s">
        <v>49</v>
      </c>
      <c r="D41" s="9" t="str">
        <f t="shared" si="0"/>
        <v>resumen_montos_facturados_TD_AR_CDpRGL_2502pre.xlsx</v>
      </c>
      <c r="E41" s="8" t="s">
        <v>49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1"/>
      <c r="L41" s="11"/>
      <c r="M41" s="12"/>
      <c r="N41" s="12"/>
    </row>
    <row r="42" spans="2:14" x14ac:dyDescent="0.2">
      <c r="B42" s="8">
        <v>35</v>
      </c>
      <c r="C42" s="8" t="s">
        <v>50</v>
      </c>
      <c r="D42" s="9" t="str">
        <f t="shared" si="0"/>
        <v>resumen_montos_facturados_TD_AR_CDpRGL_2502pre.xlsx</v>
      </c>
      <c r="E42" s="8" t="s">
        <v>50</v>
      </c>
      <c r="F42" s="10">
        <v>0</v>
      </c>
      <c r="G42" s="10">
        <v>7680.2999999999993</v>
      </c>
      <c r="H42" s="10">
        <v>0</v>
      </c>
      <c r="I42" s="10">
        <v>0</v>
      </c>
      <c r="J42" s="10">
        <v>635.28146751299971</v>
      </c>
      <c r="K42" s="11"/>
      <c r="L42" s="11"/>
      <c r="M42" s="12"/>
      <c r="N42" s="12"/>
    </row>
    <row r="43" spans="2:14" x14ac:dyDescent="0.2">
      <c r="B43" s="8">
        <v>36</v>
      </c>
      <c r="C43" s="8" t="s">
        <v>51</v>
      </c>
      <c r="D43" s="9" t="str">
        <f t="shared" si="0"/>
        <v>resumen_montos_facturados_TD_AR_CDpRGL_2502pre.xlsx</v>
      </c>
      <c r="E43" s="8" t="s">
        <v>51</v>
      </c>
      <c r="F43" s="10">
        <v>32785.800000000003</v>
      </c>
      <c r="G43" s="10">
        <v>63849.399999999987</v>
      </c>
      <c r="H43" s="10">
        <v>0</v>
      </c>
      <c r="I43" s="10">
        <v>0</v>
      </c>
      <c r="J43" s="10">
        <v>7757.7998605843677</v>
      </c>
      <c r="K43" s="11"/>
      <c r="L43" s="11"/>
      <c r="M43" s="12"/>
      <c r="N43" s="12"/>
    </row>
    <row r="44" spans="2:14" x14ac:dyDescent="0.2">
      <c r="B44" s="13" t="s">
        <v>52</v>
      </c>
      <c r="C44" s="14"/>
      <c r="D44" s="14"/>
      <c r="E44" s="15"/>
      <c r="F44" s="16">
        <f>SUM(F8:F43)</f>
        <v>550593057.95993447</v>
      </c>
      <c r="G44" s="16">
        <f>SUM(G8:G43)</f>
        <v>1696300991.8939722</v>
      </c>
      <c r="H44" s="16">
        <f>SUM(H8:H43)</f>
        <v>10893095.265000001</v>
      </c>
      <c r="I44" s="16">
        <f>SUM(I8:I43)</f>
        <v>2094804.5562</v>
      </c>
      <c r="J44" s="16">
        <f>SUM(J8:J43)</f>
        <v>99720006.435431659</v>
      </c>
      <c r="K44" s="11"/>
      <c r="L44" s="11"/>
      <c r="M44" s="12"/>
      <c r="N44" s="12"/>
    </row>
    <row r="45" spans="2:14" x14ac:dyDescent="0.2">
      <c r="L45" s="11"/>
      <c r="M45" s="12"/>
      <c r="N45" s="12"/>
    </row>
  </sheetData>
  <mergeCells count="6">
    <mergeCell ref="E2:F2"/>
    <mergeCell ref="B3:C3"/>
    <mergeCell ref="B6:B7"/>
    <mergeCell ref="C6:C7"/>
    <mergeCell ref="D6:D7"/>
    <mergeCell ref="E6:E7"/>
  </mergeCells>
  <dataValidations count="1">
    <dataValidation type="list" showInputMessage="1" showErrorMessage="1" sqref="G2" xr:uid="{1AF370F2-BDC6-456E-8355-EDDE7D52D027}">
      <formula1>"pre,def"</formula1>
    </dataValidation>
  </dataValidations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54419-A81A-49AE-93CE-51C7EEEA755D}">
  <sheetPr codeName="Hoja5">
    <tabColor theme="0"/>
  </sheetPr>
  <dimension ref="B2:N45"/>
  <sheetViews>
    <sheetView showGridLines="0" zoomScale="85" zoomScaleNormal="85" workbookViewId="0"/>
  </sheetViews>
  <sheetFormatPr baseColWidth="10" defaultRowHeight="12.75" x14ac:dyDescent="0.2"/>
  <cols>
    <col min="2" max="2" width="3.42578125" customWidth="1"/>
    <col min="3" max="3" width="16.28515625" bestFit="1" customWidth="1"/>
    <col min="4" max="4" width="49.5703125" bestFit="1" customWidth="1"/>
    <col min="5" max="5" width="16.5703125" customWidth="1"/>
    <col min="6" max="7" width="13.140625" customWidth="1"/>
    <col min="8" max="8" width="14.5703125" customWidth="1"/>
    <col min="9" max="9" width="11.42578125" customWidth="1"/>
    <col min="10" max="10" width="14" customWidth="1"/>
  </cols>
  <sheetData>
    <row r="2" spans="2:14" x14ac:dyDescent="0.2">
      <c r="B2" s="1" t="s">
        <v>0</v>
      </c>
      <c r="D2" s="1"/>
      <c r="E2" s="2" t="s">
        <v>1</v>
      </c>
      <c r="F2" s="2"/>
      <c r="G2" s="3" t="s">
        <v>2</v>
      </c>
    </row>
    <row r="3" spans="2:14" x14ac:dyDescent="0.2">
      <c r="B3" s="4">
        <v>45689</v>
      </c>
      <c r="C3" s="4"/>
      <c r="D3" s="5"/>
    </row>
    <row r="4" spans="2:14" x14ac:dyDescent="0.2">
      <c r="B4" s="1"/>
    </row>
    <row r="6" spans="2:14" x14ac:dyDescent="0.2">
      <c r="B6" s="6" t="s">
        <v>3</v>
      </c>
      <c r="C6" s="6" t="s">
        <v>4</v>
      </c>
      <c r="D6" s="6" t="s">
        <v>5</v>
      </c>
      <c r="E6" s="6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53</v>
      </c>
    </row>
    <row r="7" spans="2:14" x14ac:dyDescent="0.2">
      <c r="B7" s="6"/>
      <c r="C7" s="6"/>
      <c r="D7" s="6"/>
      <c r="E7" s="6"/>
      <c r="F7" s="7" t="s">
        <v>12</v>
      </c>
      <c r="G7" s="7" t="s">
        <v>12</v>
      </c>
      <c r="H7" s="7" t="s">
        <v>12</v>
      </c>
      <c r="I7" s="7" t="s">
        <v>12</v>
      </c>
      <c r="J7" s="7" t="s">
        <v>13</v>
      </c>
      <c r="M7" s="17"/>
      <c r="N7" s="17"/>
    </row>
    <row r="8" spans="2:14" x14ac:dyDescent="0.2">
      <c r="B8" s="8">
        <v>1</v>
      </c>
      <c r="C8" s="8" t="s">
        <v>14</v>
      </c>
      <c r="D8" s="9" t="s">
        <v>100</v>
      </c>
      <c r="E8" s="8" t="s">
        <v>14</v>
      </c>
      <c r="F8" s="10">
        <v>5858488</v>
      </c>
      <c r="G8" s="10">
        <v>3604124</v>
      </c>
      <c r="H8" s="10">
        <v>182555</v>
      </c>
      <c r="I8" s="10">
        <v>50278</v>
      </c>
      <c r="J8" s="10">
        <v>0</v>
      </c>
      <c r="K8" s="11"/>
      <c r="L8" s="12"/>
      <c r="M8" s="12"/>
    </row>
    <row r="9" spans="2:14" x14ac:dyDescent="0.2">
      <c r="B9" s="8">
        <v>2</v>
      </c>
      <c r="C9" s="8" t="s">
        <v>15</v>
      </c>
      <c r="D9" s="9" t="s">
        <v>100</v>
      </c>
      <c r="E9" s="8" t="s">
        <v>15</v>
      </c>
      <c r="F9" s="10">
        <v>1351299</v>
      </c>
      <c r="G9" s="10">
        <v>4568128</v>
      </c>
      <c r="H9" s="10">
        <v>2684</v>
      </c>
      <c r="I9" s="10">
        <v>40256</v>
      </c>
      <c r="J9" s="10">
        <v>0</v>
      </c>
      <c r="K9" s="11"/>
      <c r="L9" s="12"/>
      <c r="M9" s="12"/>
    </row>
    <row r="10" spans="2:14" x14ac:dyDescent="0.2">
      <c r="B10" s="8">
        <v>3</v>
      </c>
      <c r="C10" s="8" t="s">
        <v>16</v>
      </c>
      <c r="D10" s="9" t="s">
        <v>100</v>
      </c>
      <c r="E10" s="8" t="s">
        <v>16</v>
      </c>
      <c r="F10" s="10">
        <v>3609797</v>
      </c>
      <c r="G10" s="10">
        <v>13736630.449999999</v>
      </c>
      <c r="H10" s="10">
        <v>0</v>
      </c>
      <c r="I10" s="10">
        <v>32662</v>
      </c>
      <c r="J10" s="10">
        <v>0</v>
      </c>
      <c r="K10" s="11"/>
      <c r="L10" s="12"/>
      <c r="M10" s="12"/>
    </row>
    <row r="11" spans="2:14" x14ac:dyDescent="0.2">
      <c r="B11" s="8">
        <v>4</v>
      </c>
      <c r="C11" s="8" t="s">
        <v>17</v>
      </c>
      <c r="D11" s="9" t="s">
        <v>100</v>
      </c>
      <c r="E11" s="8" t="s">
        <v>17</v>
      </c>
      <c r="F11" s="10">
        <v>497568</v>
      </c>
      <c r="G11" s="10">
        <v>1473676</v>
      </c>
      <c r="H11" s="10">
        <v>0</v>
      </c>
      <c r="I11" s="10">
        <v>0</v>
      </c>
      <c r="J11" s="10">
        <v>0</v>
      </c>
      <c r="K11" s="11"/>
      <c r="L11" s="12"/>
      <c r="M11" s="12"/>
    </row>
    <row r="12" spans="2:14" x14ac:dyDescent="0.2">
      <c r="B12" s="8">
        <v>5</v>
      </c>
      <c r="C12" s="8" t="s">
        <v>18</v>
      </c>
      <c r="D12" s="9" t="s">
        <v>100</v>
      </c>
      <c r="E12" s="8" t="s">
        <v>18</v>
      </c>
      <c r="F12" s="10">
        <v>179075049.39700001</v>
      </c>
      <c r="G12" s="10">
        <v>449687404.71100003</v>
      </c>
      <c r="H12" s="10">
        <v>2809205.594</v>
      </c>
      <c r="I12" s="10">
        <v>-2192337.3640000001</v>
      </c>
      <c r="J12" s="10">
        <v>808942.72958861676</v>
      </c>
      <c r="K12" s="11"/>
      <c r="L12" s="12"/>
      <c r="M12" s="12"/>
    </row>
    <row r="13" spans="2:14" x14ac:dyDescent="0.2">
      <c r="B13" s="8">
        <v>6</v>
      </c>
      <c r="C13" s="8" t="s">
        <v>19</v>
      </c>
      <c r="D13" s="9" t="s">
        <v>100</v>
      </c>
      <c r="E13" s="8" t="s">
        <v>20</v>
      </c>
      <c r="F13" s="10">
        <v>73958.002999999997</v>
      </c>
      <c r="G13" s="10">
        <v>1001024.439</v>
      </c>
      <c r="H13" s="10">
        <v>0</v>
      </c>
      <c r="I13" s="10">
        <v>0</v>
      </c>
      <c r="J13" s="10">
        <v>0</v>
      </c>
      <c r="K13" s="11"/>
      <c r="L13" s="12"/>
      <c r="M13" s="12"/>
    </row>
    <row r="14" spans="2:14" x14ac:dyDescent="0.2">
      <c r="B14" s="8">
        <v>7</v>
      </c>
      <c r="C14" s="8" t="s">
        <v>21</v>
      </c>
      <c r="D14" s="9" t="s">
        <v>100</v>
      </c>
      <c r="E14" s="8" t="s">
        <v>21</v>
      </c>
      <c r="F14" s="10">
        <v>12259688.81893453</v>
      </c>
      <c r="G14" s="10">
        <v>19502529.916000001</v>
      </c>
      <c r="H14" s="10">
        <v>296192.02</v>
      </c>
      <c r="I14" s="10">
        <v>56319.735999999997</v>
      </c>
      <c r="J14" s="10">
        <v>8370.8711941468137</v>
      </c>
      <c r="K14" s="11"/>
      <c r="L14" s="12"/>
      <c r="M14" s="12"/>
    </row>
    <row r="15" spans="2:14" x14ac:dyDescent="0.2">
      <c r="B15" s="8">
        <v>8</v>
      </c>
      <c r="C15" s="8" t="s">
        <v>22</v>
      </c>
      <c r="D15" s="9" t="s">
        <v>100</v>
      </c>
      <c r="E15" s="8" t="s">
        <v>22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1"/>
      <c r="L15" s="12"/>
      <c r="M15" s="12"/>
    </row>
    <row r="16" spans="2:14" x14ac:dyDescent="0.2">
      <c r="B16" s="8">
        <v>9</v>
      </c>
      <c r="C16" s="8" t="s">
        <v>23</v>
      </c>
      <c r="D16" s="9" t="s">
        <v>100</v>
      </c>
      <c r="E16" s="8" t="s">
        <v>23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1"/>
      <c r="L16" s="12"/>
      <c r="M16" s="12"/>
    </row>
    <row r="17" spans="2:13" x14ac:dyDescent="0.2">
      <c r="B17" s="8">
        <v>10</v>
      </c>
      <c r="C17" s="8" t="s">
        <v>24</v>
      </c>
      <c r="D17" s="9" t="s">
        <v>100</v>
      </c>
      <c r="E17" s="8" t="s">
        <v>24</v>
      </c>
      <c r="F17" s="10">
        <v>126669215.45100001</v>
      </c>
      <c r="G17" s="10">
        <v>653146218.52836204</v>
      </c>
      <c r="H17" s="10">
        <v>1363727.5</v>
      </c>
      <c r="I17" s="10">
        <v>1685071.2050000001</v>
      </c>
      <c r="J17" s="10">
        <v>3694226.4659392522</v>
      </c>
      <c r="K17" s="11"/>
      <c r="L17" s="12"/>
      <c r="M17" s="12"/>
    </row>
    <row r="18" spans="2:13" x14ac:dyDescent="0.2">
      <c r="B18" s="8">
        <v>11</v>
      </c>
      <c r="C18" s="8" t="s">
        <v>25</v>
      </c>
      <c r="D18" s="9" t="s">
        <v>100</v>
      </c>
      <c r="E18" s="8" t="s">
        <v>25</v>
      </c>
      <c r="F18" s="10">
        <v>13865</v>
      </c>
      <c r="G18" s="10">
        <v>339424.397</v>
      </c>
      <c r="H18" s="10">
        <v>0</v>
      </c>
      <c r="I18" s="10">
        <v>0</v>
      </c>
      <c r="J18" s="10">
        <v>0</v>
      </c>
      <c r="K18" s="11"/>
      <c r="L18" s="12"/>
      <c r="M18" s="12"/>
    </row>
    <row r="19" spans="2:13" x14ac:dyDescent="0.2">
      <c r="B19" s="8">
        <v>12</v>
      </c>
      <c r="C19" s="8" t="s">
        <v>26</v>
      </c>
      <c r="D19" s="9" t="s">
        <v>100</v>
      </c>
      <c r="E19" s="8" t="s">
        <v>26</v>
      </c>
      <c r="F19" s="10">
        <v>37453496.123000003</v>
      </c>
      <c r="G19" s="10">
        <v>71144273.245000005</v>
      </c>
      <c r="H19" s="10">
        <v>780328.14</v>
      </c>
      <c r="I19" s="10">
        <v>210386.84599999999</v>
      </c>
      <c r="J19" s="10">
        <v>-13262.69136286609</v>
      </c>
      <c r="K19" s="11"/>
      <c r="L19" s="12"/>
      <c r="M19" s="12"/>
    </row>
    <row r="20" spans="2:13" x14ac:dyDescent="0.2">
      <c r="B20" s="8">
        <v>13</v>
      </c>
      <c r="C20" s="8" t="s">
        <v>27</v>
      </c>
      <c r="D20" s="9" t="s">
        <v>100</v>
      </c>
      <c r="E20" s="8" t="s">
        <v>27</v>
      </c>
      <c r="F20" s="10">
        <v>2055527.727</v>
      </c>
      <c r="G20" s="10">
        <v>17009823.287999999</v>
      </c>
      <c r="H20" s="10">
        <v>0</v>
      </c>
      <c r="I20" s="10">
        <v>27099.214</v>
      </c>
      <c r="J20" s="10">
        <v>-11241.425816785089</v>
      </c>
      <c r="K20" s="11"/>
      <c r="L20" s="12"/>
      <c r="M20" s="12"/>
    </row>
    <row r="21" spans="2:13" x14ac:dyDescent="0.2">
      <c r="B21" s="8">
        <v>14</v>
      </c>
      <c r="C21" s="8" t="s">
        <v>28</v>
      </c>
      <c r="D21" s="9" t="s">
        <v>100</v>
      </c>
      <c r="E21" s="8" t="s">
        <v>28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1"/>
      <c r="L21" s="12"/>
      <c r="M21" s="12"/>
    </row>
    <row r="22" spans="2:13" x14ac:dyDescent="0.2">
      <c r="B22" s="8">
        <v>15</v>
      </c>
      <c r="C22" s="8" t="s">
        <v>29</v>
      </c>
      <c r="D22" s="9" t="s">
        <v>100</v>
      </c>
      <c r="E22" s="8" t="s">
        <v>29</v>
      </c>
      <c r="F22" s="10">
        <v>1387239</v>
      </c>
      <c r="G22" s="10">
        <v>7103391.9000000004</v>
      </c>
      <c r="H22" s="10">
        <v>378</v>
      </c>
      <c r="I22" s="10">
        <v>28244</v>
      </c>
      <c r="J22" s="10">
        <v>0</v>
      </c>
      <c r="K22" s="11"/>
      <c r="L22" s="12"/>
      <c r="M22" s="12"/>
    </row>
    <row r="23" spans="2:13" x14ac:dyDescent="0.2">
      <c r="B23" s="8">
        <v>16</v>
      </c>
      <c r="C23" s="8" t="s">
        <v>30</v>
      </c>
      <c r="D23" s="9" t="s">
        <v>100</v>
      </c>
      <c r="E23" s="8" t="s">
        <v>30</v>
      </c>
      <c r="F23" s="10">
        <v>12579642</v>
      </c>
      <c r="G23" s="10">
        <v>14055928</v>
      </c>
      <c r="H23" s="10">
        <v>805237</v>
      </c>
      <c r="I23" s="10">
        <v>160722</v>
      </c>
      <c r="J23" s="10">
        <v>0</v>
      </c>
      <c r="K23" s="11"/>
      <c r="L23" s="12"/>
      <c r="M23" s="12"/>
    </row>
    <row r="24" spans="2:13" x14ac:dyDescent="0.2">
      <c r="B24" s="8">
        <v>17</v>
      </c>
      <c r="C24" s="8" t="s">
        <v>31</v>
      </c>
      <c r="D24" s="9" t="s">
        <v>100</v>
      </c>
      <c r="E24" s="8" t="s">
        <v>31</v>
      </c>
      <c r="F24" s="10">
        <v>1658481</v>
      </c>
      <c r="G24" s="10">
        <v>13698754</v>
      </c>
      <c r="H24" s="10">
        <v>1</v>
      </c>
      <c r="I24" s="10">
        <v>81836</v>
      </c>
      <c r="J24" s="10">
        <v>0</v>
      </c>
      <c r="K24" s="11"/>
      <c r="L24" s="12"/>
      <c r="M24" s="12"/>
    </row>
    <row r="25" spans="2:13" x14ac:dyDescent="0.2">
      <c r="B25" s="8">
        <v>18</v>
      </c>
      <c r="C25" s="8" t="s">
        <v>32</v>
      </c>
      <c r="D25" s="9" t="s">
        <v>100</v>
      </c>
      <c r="E25" s="8" t="s">
        <v>32</v>
      </c>
      <c r="F25" s="10">
        <v>784466</v>
      </c>
      <c r="G25" s="10">
        <v>4993205</v>
      </c>
      <c r="H25" s="10">
        <v>273368</v>
      </c>
      <c r="I25" s="10">
        <v>41834</v>
      </c>
      <c r="J25" s="10">
        <v>0</v>
      </c>
      <c r="K25" s="11"/>
      <c r="L25" s="12"/>
      <c r="M25" s="12"/>
    </row>
    <row r="26" spans="2:13" x14ac:dyDescent="0.2">
      <c r="B26" s="8">
        <v>19</v>
      </c>
      <c r="C26" s="8" t="s">
        <v>33</v>
      </c>
      <c r="D26" s="9" t="s">
        <v>100</v>
      </c>
      <c r="E26" s="8" t="s">
        <v>33</v>
      </c>
      <c r="F26" s="10">
        <v>2279267</v>
      </c>
      <c r="G26" s="10">
        <v>2372370</v>
      </c>
      <c r="H26" s="10">
        <v>108079</v>
      </c>
      <c r="I26" s="10">
        <v>8368</v>
      </c>
      <c r="J26" s="10">
        <v>0</v>
      </c>
      <c r="K26" s="11"/>
      <c r="L26" s="12"/>
      <c r="M26" s="12"/>
    </row>
    <row r="27" spans="2:13" x14ac:dyDescent="0.2">
      <c r="B27" s="8">
        <v>20</v>
      </c>
      <c r="C27" s="8" t="s">
        <v>34</v>
      </c>
      <c r="D27" s="9" t="s">
        <v>100</v>
      </c>
      <c r="E27" s="8" t="s">
        <v>34</v>
      </c>
      <c r="F27" s="10">
        <v>5547113</v>
      </c>
      <c r="G27" s="10">
        <v>8393589</v>
      </c>
      <c r="H27" s="10">
        <v>385170</v>
      </c>
      <c r="I27" s="10">
        <v>97962</v>
      </c>
      <c r="J27" s="10">
        <v>0</v>
      </c>
      <c r="K27" s="11"/>
      <c r="L27" s="12"/>
      <c r="M27" s="12"/>
    </row>
    <row r="28" spans="2:13" x14ac:dyDescent="0.2">
      <c r="B28" s="8">
        <v>21</v>
      </c>
      <c r="C28" s="8" t="s">
        <v>35</v>
      </c>
      <c r="D28" s="9" t="s">
        <v>100</v>
      </c>
      <c r="E28" s="8" t="s">
        <v>35</v>
      </c>
      <c r="F28" s="10">
        <v>20343709.010000002</v>
      </c>
      <c r="G28" s="10">
        <v>59942717.369999997</v>
      </c>
      <c r="H28" s="10">
        <v>244851.97099999999</v>
      </c>
      <c r="I28" s="10">
        <v>182729</v>
      </c>
      <c r="J28" s="10">
        <v>11859.798136482999</v>
      </c>
      <c r="K28" s="11"/>
      <c r="L28" s="12"/>
      <c r="M28" s="12"/>
    </row>
    <row r="29" spans="2:13" x14ac:dyDescent="0.2">
      <c r="B29" s="8">
        <v>22</v>
      </c>
      <c r="C29" s="8" t="s">
        <v>36</v>
      </c>
      <c r="D29" s="9" t="s">
        <v>100</v>
      </c>
      <c r="E29" s="8" t="s">
        <v>36</v>
      </c>
      <c r="F29" s="10">
        <v>7232589.8899999997</v>
      </c>
      <c r="G29" s="10">
        <v>4284916.54</v>
      </c>
      <c r="H29" s="10">
        <v>221082.74</v>
      </c>
      <c r="I29" s="10">
        <v>24298</v>
      </c>
      <c r="J29" s="10">
        <v>379.83926065359992</v>
      </c>
      <c r="K29" s="11"/>
      <c r="L29" s="12"/>
      <c r="M29" s="12"/>
    </row>
    <row r="30" spans="2:13" x14ac:dyDescent="0.2">
      <c r="B30" s="8">
        <v>23</v>
      </c>
      <c r="C30" s="8" t="s">
        <v>37</v>
      </c>
      <c r="D30" s="9" t="s">
        <v>100</v>
      </c>
      <c r="E30" s="8" t="s">
        <v>37</v>
      </c>
      <c r="F30" s="10">
        <v>37963452.560000002</v>
      </c>
      <c r="G30" s="10">
        <v>92895852.049999997</v>
      </c>
      <c r="H30" s="10">
        <v>274390.12</v>
      </c>
      <c r="I30" s="10">
        <v>269443.40000000002</v>
      </c>
      <c r="J30" s="10">
        <v>0</v>
      </c>
      <c r="K30" s="11"/>
      <c r="L30" s="12"/>
      <c r="M30" s="12"/>
    </row>
    <row r="31" spans="2:13" x14ac:dyDescent="0.2">
      <c r="B31" s="8">
        <v>24</v>
      </c>
      <c r="C31" s="8" t="s">
        <v>38</v>
      </c>
      <c r="D31" s="9" t="s">
        <v>100</v>
      </c>
      <c r="E31" s="8" t="s">
        <v>38</v>
      </c>
      <c r="F31" s="10">
        <v>2775139</v>
      </c>
      <c r="G31" s="10">
        <v>3228410</v>
      </c>
      <c r="H31" s="10">
        <v>34546</v>
      </c>
      <c r="I31" s="10">
        <v>15593</v>
      </c>
      <c r="J31" s="10">
        <v>0</v>
      </c>
      <c r="K31" s="11"/>
      <c r="L31" s="12"/>
      <c r="M31" s="12"/>
    </row>
    <row r="32" spans="2:13" x14ac:dyDescent="0.2">
      <c r="B32" s="8">
        <v>25</v>
      </c>
      <c r="C32" s="8" t="s">
        <v>39</v>
      </c>
      <c r="D32" s="9" t="s">
        <v>100</v>
      </c>
      <c r="E32" s="8" t="s">
        <v>39</v>
      </c>
      <c r="F32" s="10">
        <v>47169688.200000003</v>
      </c>
      <c r="G32" s="10">
        <v>129845747.15020999</v>
      </c>
      <c r="H32" s="10">
        <v>2333169.5</v>
      </c>
      <c r="I32" s="10">
        <v>871069.2</v>
      </c>
      <c r="J32" s="10">
        <v>65049.369226843548</v>
      </c>
      <c r="K32" s="11"/>
      <c r="L32" s="12"/>
      <c r="M32" s="12"/>
    </row>
    <row r="33" spans="2:13" x14ac:dyDescent="0.2">
      <c r="B33" s="8">
        <v>26</v>
      </c>
      <c r="C33" s="8" t="s">
        <v>40</v>
      </c>
      <c r="D33" s="9" t="s">
        <v>100</v>
      </c>
      <c r="E33" s="8" t="s">
        <v>40</v>
      </c>
      <c r="F33" s="10">
        <v>2024167.1</v>
      </c>
      <c r="G33" s="10">
        <v>3180908.1</v>
      </c>
      <c r="H33" s="10">
        <v>43633</v>
      </c>
      <c r="I33" s="10">
        <v>103787.1</v>
      </c>
      <c r="J33" s="10">
        <v>0</v>
      </c>
      <c r="K33" s="11"/>
      <c r="L33" s="12"/>
      <c r="M33" s="12"/>
    </row>
    <row r="34" spans="2:13" x14ac:dyDescent="0.2">
      <c r="B34" s="8">
        <v>27</v>
      </c>
      <c r="C34" s="8" t="s">
        <v>41</v>
      </c>
      <c r="D34" s="9" t="s">
        <v>100</v>
      </c>
      <c r="E34" s="8" t="s">
        <v>41</v>
      </c>
      <c r="F34" s="10">
        <v>1599535.9</v>
      </c>
      <c r="G34" s="10">
        <v>11659642.3651</v>
      </c>
      <c r="H34" s="10">
        <v>2846</v>
      </c>
      <c r="I34" s="10">
        <v>57695</v>
      </c>
      <c r="J34" s="10">
        <v>10796.61869717578</v>
      </c>
      <c r="K34" s="11"/>
      <c r="L34" s="12"/>
      <c r="M34" s="12"/>
    </row>
    <row r="35" spans="2:13" x14ac:dyDescent="0.2">
      <c r="B35" s="8">
        <v>28</v>
      </c>
      <c r="C35" s="8" t="s">
        <v>42</v>
      </c>
      <c r="D35" s="9" t="s">
        <v>100</v>
      </c>
      <c r="E35" s="8" t="s">
        <v>42</v>
      </c>
      <c r="F35" s="10">
        <v>8000439.7999999998</v>
      </c>
      <c r="G35" s="10">
        <v>6815829.9396000002</v>
      </c>
      <c r="H35" s="10">
        <v>335599</v>
      </c>
      <c r="I35" s="10">
        <v>39272.500200000002</v>
      </c>
      <c r="J35" s="10">
        <v>87.364928068529366</v>
      </c>
      <c r="K35" s="11"/>
      <c r="L35" s="12"/>
      <c r="M35" s="12"/>
    </row>
    <row r="36" spans="2:13" x14ac:dyDescent="0.2">
      <c r="B36" s="8">
        <v>29</v>
      </c>
      <c r="C36" s="8" t="s">
        <v>43</v>
      </c>
      <c r="D36" s="9" t="s">
        <v>100</v>
      </c>
      <c r="E36" s="8" t="s">
        <v>43</v>
      </c>
      <c r="F36" s="10">
        <v>9889670.5999999996</v>
      </c>
      <c r="G36" s="10">
        <v>5446425.7867000001</v>
      </c>
      <c r="H36" s="10">
        <v>260291</v>
      </c>
      <c r="I36" s="10">
        <v>76425</v>
      </c>
      <c r="J36" s="10">
        <v>5878.6222565021026</v>
      </c>
      <c r="K36" s="11"/>
      <c r="L36" s="12"/>
      <c r="M36" s="12"/>
    </row>
    <row r="37" spans="2:13" x14ac:dyDescent="0.2">
      <c r="B37" s="8">
        <v>30</v>
      </c>
      <c r="C37" s="8" t="s">
        <v>44</v>
      </c>
      <c r="D37" s="9" t="s">
        <v>100</v>
      </c>
      <c r="E37" s="8" t="s">
        <v>45</v>
      </c>
      <c r="F37" s="10">
        <v>631486</v>
      </c>
      <c r="G37" s="10">
        <v>991478</v>
      </c>
      <c r="H37" s="10">
        <v>34425</v>
      </c>
      <c r="I37" s="10">
        <v>12094</v>
      </c>
      <c r="J37" s="10">
        <v>0</v>
      </c>
      <c r="K37" s="11"/>
      <c r="L37" s="12"/>
      <c r="M37" s="12"/>
    </row>
    <row r="38" spans="2:13" x14ac:dyDescent="0.2">
      <c r="B38" s="8">
        <v>31</v>
      </c>
      <c r="C38" s="8" t="s">
        <v>46</v>
      </c>
      <c r="D38" s="9" t="s">
        <v>100</v>
      </c>
      <c r="E38" s="8" t="s">
        <v>46</v>
      </c>
      <c r="F38" s="10">
        <v>3488306.997</v>
      </c>
      <c r="G38" s="10">
        <v>17890534.035999998</v>
      </c>
      <c r="H38" s="10">
        <v>6102</v>
      </c>
      <c r="I38" s="10">
        <v>25475.017</v>
      </c>
      <c r="J38" s="10">
        <v>0</v>
      </c>
      <c r="K38" s="11"/>
      <c r="L38" s="12"/>
      <c r="M38" s="12"/>
    </row>
    <row r="39" spans="2:13" x14ac:dyDescent="0.2">
      <c r="B39" s="8">
        <v>32</v>
      </c>
      <c r="C39" s="8" t="s">
        <v>47</v>
      </c>
      <c r="D39" s="9" t="s">
        <v>100</v>
      </c>
      <c r="E39" s="8" t="s">
        <v>47</v>
      </c>
      <c r="F39" s="10">
        <v>5923962.2429999998</v>
      </c>
      <c r="G39" s="10">
        <v>26188400.357999999</v>
      </c>
      <c r="H39" s="10">
        <v>15941.1</v>
      </c>
      <c r="I39" s="10">
        <v>14894.528</v>
      </c>
      <c r="J39" s="10">
        <v>3683.5062540483641</v>
      </c>
      <c r="K39" s="11"/>
      <c r="L39" s="12"/>
      <c r="M39" s="12"/>
    </row>
    <row r="40" spans="2:13" x14ac:dyDescent="0.2">
      <c r="B40" s="8">
        <v>33</v>
      </c>
      <c r="C40" s="8" t="s">
        <v>48</v>
      </c>
      <c r="D40" s="9" t="s">
        <v>100</v>
      </c>
      <c r="E40" s="8" t="s">
        <v>48</v>
      </c>
      <c r="F40" s="10">
        <v>10363964.34</v>
      </c>
      <c r="G40" s="10">
        <v>48028105.623999998</v>
      </c>
      <c r="H40" s="10">
        <v>79292.58</v>
      </c>
      <c r="I40" s="10">
        <v>73327.173999999999</v>
      </c>
      <c r="J40" s="10">
        <v>-37316.126916694891</v>
      </c>
      <c r="K40" s="11"/>
      <c r="L40" s="12"/>
      <c r="M40" s="12"/>
    </row>
    <row r="41" spans="2:13" x14ac:dyDescent="0.2">
      <c r="B41" s="8">
        <v>34</v>
      </c>
      <c r="C41" s="8" t="s">
        <v>49</v>
      </c>
      <c r="D41" s="9" t="s">
        <v>100</v>
      </c>
      <c r="E41" s="8" t="s">
        <v>49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1"/>
      <c r="L41" s="12"/>
      <c r="M41" s="12"/>
    </row>
    <row r="42" spans="2:13" x14ac:dyDescent="0.2">
      <c r="B42" s="8">
        <v>35</v>
      </c>
      <c r="C42" s="8" t="s">
        <v>50</v>
      </c>
      <c r="D42" s="9" t="s">
        <v>100</v>
      </c>
      <c r="E42" s="8" t="s">
        <v>50</v>
      </c>
      <c r="F42" s="10">
        <v>0</v>
      </c>
      <c r="G42" s="10">
        <v>7680.2999999999993</v>
      </c>
      <c r="H42" s="10">
        <v>0</v>
      </c>
      <c r="I42" s="10">
        <v>0</v>
      </c>
      <c r="J42" s="10">
        <v>0</v>
      </c>
      <c r="K42" s="11"/>
      <c r="L42" s="12"/>
      <c r="M42" s="12"/>
    </row>
    <row r="43" spans="2:13" x14ac:dyDescent="0.2">
      <c r="B43" s="8">
        <v>36</v>
      </c>
      <c r="C43" s="8" t="s">
        <v>51</v>
      </c>
      <c r="D43" s="9" t="s">
        <v>100</v>
      </c>
      <c r="E43" s="8" t="s">
        <v>51</v>
      </c>
      <c r="F43" s="10">
        <v>32785.800000000003</v>
      </c>
      <c r="G43" s="10">
        <v>63849.399999999987</v>
      </c>
      <c r="H43" s="10">
        <v>0</v>
      </c>
      <c r="I43" s="10">
        <v>0</v>
      </c>
      <c r="J43" s="10">
        <v>0</v>
      </c>
      <c r="K43" s="11"/>
      <c r="L43" s="12"/>
      <c r="M43" s="12"/>
    </row>
    <row r="44" spans="2:13" x14ac:dyDescent="0.2">
      <c r="B44" s="13" t="s">
        <v>52</v>
      </c>
      <c r="C44" s="14"/>
      <c r="D44" s="14"/>
      <c r="E44" s="15"/>
      <c r="F44" s="16">
        <v>550593057.95993447</v>
      </c>
      <c r="G44" s="16">
        <v>1696300991.8939722</v>
      </c>
      <c r="H44" s="16">
        <v>10893095.265000001</v>
      </c>
      <c r="I44" s="16">
        <v>2094804.5562</v>
      </c>
      <c r="J44" s="16">
        <v>4547454.9413854443</v>
      </c>
      <c r="K44" s="11"/>
      <c r="L44" s="12"/>
      <c r="M44" s="12"/>
    </row>
    <row r="45" spans="2:13" x14ac:dyDescent="0.2">
      <c r="F45" s="18"/>
      <c r="G45" s="18"/>
      <c r="H45" s="18"/>
      <c r="I45" s="18"/>
      <c r="J45" s="18"/>
    </row>
  </sheetData>
  <mergeCells count="6">
    <mergeCell ref="E2:F2"/>
    <mergeCell ref="B3:C3"/>
    <mergeCell ref="B6:B7"/>
    <mergeCell ref="C6:C7"/>
    <mergeCell ref="D6:D7"/>
    <mergeCell ref="E6:E7"/>
  </mergeCells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32B2-6C46-41C4-BF19-A31B9B41C74C}">
  <sheetPr codeName="Hoja11">
    <tabColor theme="0"/>
  </sheetPr>
  <dimension ref="B2:O46"/>
  <sheetViews>
    <sheetView showGridLines="0" zoomScale="85" zoomScaleNormal="85" workbookViewId="0"/>
  </sheetViews>
  <sheetFormatPr baseColWidth="10" defaultRowHeight="12.75" x14ac:dyDescent="0.2"/>
  <cols>
    <col min="2" max="2" width="3.42578125" customWidth="1"/>
    <col min="3" max="3" width="16.28515625" bestFit="1" customWidth="1"/>
    <col min="4" max="4" width="49.5703125" bestFit="1" customWidth="1"/>
    <col min="5" max="5" width="12" customWidth="1"/>
    <col min="6" max="6" width="16" customWidth="1"/>
    <col min="7" max="7" width="18.28515625" customWidth="1"/>
    <col min="8" max="8" width="15" customWidth="1"/>
    <col min="9" max="9" width="11.5703125" customWidth="1"/>
    <col min="10" max="10" width="13.42578125" customWidth="1"/>
    <col min="11" max="11" width="12.85546875" customWidth="1"/>
    <col min="12" max="12" width="13.7109375" customWidth="1"/>
    <col min="13" max="13" width="14.140625" customWidth="1"/>
    <col min="14" max="15" width="11.5703125" bestFit="1" customWidth="1"/>
    <col min="16" max="16" width="13.28515625" customWidth="1"/>
    <col min="17" max="17" width="12.7109375" customWidth="1"/>
  </cols>
  <sheetData>
    <row r="2" spans="2:15" x14ac:dyDescent="0.2">
      <c r="B2" s="1" t="s">
        <v>0</v>
      </c>
      <c r="D2" s="1"/>
      <c r="E2" s="2" t="s">
        <v>1</v>
      </c>
      <c r="F2" s="2"/>
      <c r="G2" s="3" t="str">
        <f>'Entrada AR'!$G$2</f>
        <v>pre</v>
      </c>
    </row>
    <row r="3" spans="2:15" x14ac:dyDescent="0.2">
      <c r="B3" s="4">
        <f>'Entrada AR'!FechaFacturacion</f>
        <v>45689</v>
      </c>
      <c r="C3" s="4"/>
      <c r="D3" s="5"/>
    </row>
    <row r="4" spans="2:15" x14ac:dyDescent="0.2">
      <c r="B4" s="1"/>
    </row>
    <row r="6" spans="2:15" x14ac:dyDescent="0.2">
      <c r="B6" s="6" t="s">
        <v>3</v>
      </c>
      <c r="C6" s="6" t="s">
        <v>4</v>
      </c>
      <c r="D6" s="6" t="s">
        <v>5</v>
      </c>
      <c r="E6" s="6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54</v>
      </c>
      <c r="N6" s="12"/>
    </row>
    <row r="7" spans="2:15" x14ac:dyDescent="0.2">
      <c r="B7" s="6"/>
      <c r="C7" s="6"/>
      <c r="D7" s="6"/>
      <c r="E7" s="6"/>
      <c r="F7" s="7" t="s">
        <v>12</v>
      </c>
      <c r="G7" s="7" t="s">
        <v>12</v>
      </c>
      <c r="H7" s="7" t="s">
        <v>12</v>
      </c>
      <c r="I7" s="7" t="s">
        <v>12</v>
      </c>
      <c r="J7" s="7" t="s">
        <v>13</v>
      </c>
      <c r="N7" s="12"/>
      <c r="O7" s="17"/>
    </row>
    <row r="8" spans="2:15" x14ac:dyDescent="0.2">
      <c r="B8" s="8">
        <v>1</v>
      </c>
      <c r="C8" s="8" t="s">
        <v>14</v>
      </c>
      <c r="D8" s="9" t="str">
        <f>"resumen_montos_facturados_TD_AR_CDpRGL"&amp;"_"&amp;TEXT($B$3,"yymm")&amp;$G$2&amp;".xlsx"</f>
        <v>resumen_montos_facturados_TD_AR_CDpRGL_2502pre.xlsx</v>
      </c>
      <c r="E8" s="8" t="s">
        <v>14</v>
      </c>
      <c r="F8" s="10">
        <v>5858488</v>
      </c>
      <c r="G8" s="10">
        <v>3604124</v>
      </c>
      <c r="H8" s="10">
        <v>182555</v>
      </c>
      <c r="I8" s="10">
        <v>50278</v>
      </c>
      <c r="J8" s="10">
        <v>-2278188.3288396001</v>
      </c>
      <c r="K8" s="11"/>
      <c r="L8" s="11"/>
      <c r="M8" s="12"/>
      <c r="N8" s="12"/>
    </row>
    <row r="9" spans="2:15" x14ac:dyDescent="0.2">
      <c r="B9" s="8">
        <v>2</v>
      </c>
      <c r="C9" s="8" t="s">
        <v>15</v>
      </c>
      <c r="D9" s="9" t="str">
        <f t="shared" ref="D9:D43" si="0">"resumen_montos_facturados_TD_AR_CDpRGL"&amp;"_"&amp;TEXT($B$3,"yymm")&amp;$G$2&amp;".xlsx"</f>
        <v>resumen_montos_facturados_TD_AR_CDpRGL_2502pre.xlsx</v>
      </c>
      <c r="E9" s="8" t="s">
        <v>15</v>
      </c>
      <c r="F9" s="10">
        <v>1351299</v>
      </c>
      <c r="G9" s="10">
        <v>4568128</v>
      </c>
      <c r="H9" s="10">
        <v>2684</v>
      </c>
      <c r="I9" s="10">
        <v>40256</v>
      </c>
      <c r="J9" s="10">
        <v>-25146901.3645542</v>
      </c>
      <c r="K9" s="11"/>
      <c r="L9" s="11"/>
      <c r="M9" s="12"/>
      <c r="N9" s="12"/>
    </row>
    <row r="10" spans="2:15" x14ac:dyDescent="0.2">
      <c r="B10" s="8">
        <v>3</v>
      </c>
      <c r="C10" s="8" t="s">
        <v>16</v>
      </c>
      <c r="D10" s="9" t="str">
        <f t="shared" si="0"/>
        <v>resumen_montos_facturados_TD_AR_CDpRGL_2502pre.xlsx</v>
      </c>
      <c r="E10" s="8" t="s">
        <v>16</v>
      </c>
      <c r="F10" s="10">
        <v>3609797</v>
      </c>
      <c r="G10" s="10">
        <v>13736630.449999999</v>
      </c>
      <c r="H10" s="10">
        <v>0</v>
      </c>
      <c r="I10" s="10">
        <v>32662</v>
      </c>
      <c r="J10" s="10">
        <v>28736871.958838109</v>
      </c>
      <c r="K10" s="11"/>
      <c r="L10" s="11"/>
      <c r="M10" s="12"/>
      <c r="N10" s="12"/>
    </row>
    <row r="11" spans="2:15" x14ac:dyDescent="0.2">
      <c r="B11" s="8">
        <v>4</v>
      </c>
      <c r="C11" s="8" t="s">
        <v>17</v>
      </c>
      <c r="D11" s="9" t="str">
        <f t="shared" si="0"/>
        <v>resumen_montos_facturados_TD_AR_CDpRGL_2502pre.xlsx</v>
      </c>
      <c r="E11" s="8" t="s">
        <v>17</v>
      </c>
      <c r="F11" s="10">
        <v>497568</v>
      </c>
      <c r="G11" s="10">
        <v>1473676</v>
      </c>
      <c r="H11" s="10">
        <v>0</v>
      </c>
      <c r="I11" s="10">
        <v>0</v>
      </c>
      <c r="J11" s="10">
        <v>3628186.716102601</v>
      </c>
      <c r="K11" s="11"/>
      <c r="L11" s="11"/>
      <c r="M11" s="12"/>
      <c r="N11" s="12"/>
    </row>
    <row r="12" spans="2:15" x14ac:dyDescent="0.2">
      <c r="B12" s="8">
        <v>5</v>
      </c>
      <c r="C12" s="8" t="s">
        <v>18</v>
      </c>
      <c r="D12" s="9" t="str">
        <f t="shared" si="0"/>
        <v>resumen_montos_facturados_TD_AR_CDpRGL_2502pre.xlsx</v>
      </c>
      <c r="E12" s="8" t="s">
        <v>18</v>
      </c>
      <c r="F12" s="10">
        <v>179075049.39700001</v>
      </c>
      <c r="G12" s="10">
        <v>449687404.71100003</v>
      </c>
      <c r="H12" s="10">
        <v>2809205.594</v>
      </c>
      <c r="I12" s="10">
        <v>-2192337.3640000001</v>
      </c>
      <c r="J12" s="10">
        <v>180764559.3364476</v>
      </c>
      <c r="K12" s="11"/>
      <c r="L12" s="11"/>
      <c r="M12" s="12"/>
      <c r="N12" s="12"/>
    </row>
    <row r="13" spans="2:15" x14ac:dyDescent="0.2">
      <c r="B13" s="8">
        <v>6</v>
      </c>
      <c r="C13" s="8" t="s">
        <v>19</v>
      </c>
      <c r="D13" s="9" t="str">
        <f t="shared" si="0"/>
        <v>resumen_montos_facturados_TD_AR_CDpRGL_2502pre.xlsx</v>
      </c>
      <c r="E13" s="8" t="s">
        <v>20</v>
      </c>
      <c r="F13" s="10">
        <v>73958.002999999997</v>
      </c>
      <c r="G13" s="10">
        <v>1001024.439</v>
      </c>
      <c r="H13" s="10">
        <v>0</v>
      </c>
      <c r="I13" s="10">
        <v>0</v>
      </c>
      <c r="J13" s="10">
        <v>-16466559.50968788</v>
      </c>
      <c r="K13" s="11"/>
      <c r="L13" s="11"/>
      <c r="M13" s="12"/>
      <c r="N13" s="12"/>
    </row>
    <row r="14" spans="2:15" x14ac:dyDescent="0.2">
      <c r="B14" s="8">
        <v>7</v>
      </c>
      <c r="C14" s="8" t="s">
        <v>21</v>
      </c>
      <c r="D14" s="9" t="str">
        <f t="shared" si="0"/>
        <v>resumen_montos_facturados_TD_AR_CDpRGL_2502pre.xlsx</v>
      </c>
      <c r="E14" s="8" t="s">
        <v>21</v>
      </c>
      <c r="F14" s="10">
        <v>12259688.81893453</v>
      </c>
      <c r="G14" s="10">
        <v>19502529.916000001</v>
      </c>
      <c r="H14" s="10">
        <v>296192.02</v>
      </c>
      <c r="I14" s="10">
        <v>56319.735999999997</v>
      </c>
      <c r="J14" s="10">
        <v>-180791083.69959801</v>
      </c>
      <c r="K14" s="11"/>
      <c r="L14" s="11"/>
      <c r="M14" s="12"/>
      <c r="N14" s="12"/>
    </row>
    <row r="15" spans="2:15" x14ac:dyDescent="0.2">
      <c r="B15" s="8">
        <v>8</v>
      </c>
      <c r="C15" s="8" t="s">
        <v>22</v>
      </c>
      <c r="D15" s="9" t="str">
        <f t="shared" si="0"/>
        <v>resumen_montos_facturados_TD_AR_CDpRGL_2502pre.xlsx</v>
      </c>
      <c r="E15" s="8" t="s">
        <v>22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1"/>
      <c r="L15" s="11"/>
      <c r="M15" s="12"/>
      <c r="N15" s="12"/>
    </row>
    <row r="16" spans="2:15" x14ac:dyDescent="0.2">
      <c r="B16" s="8">
        <v>9</v>
      </c>
      <c r="C16" s="8" t="s">
        <v>23</v>
      </c>
      <c r="D16" s="9" t="str">
        <f t="shared" si="0"/>
        <v>resumen_montos_facturados_TD_AR_CDpRGL_2502pre.xlsx</v>
      </c>
      <c r="E16" s="8" t="s">
        <v>23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1"/>
      <c r="L16" s="11"/>
      <c r="M16" s="12"/>
      <c r="N16" s="12"/>
    </row>
    <row r="17" spans="2:14" x14ac:dyDescent="0.2">
      <c r="B17" s="8">
        <v>10</v>
      </c>
      <c r="C17" s="8" t="s">
        <v>24</v>
      </c>
      <c r="D17" s="9" t="str">
        <f t="shared" si="0"/>
        <v>resumen_montos_facturados_TD_AR_CDpRGL_2502pre.xlsx</v>
      </c>
      <c r="E17" s="8" t="s">
        <v>24</v>
      </c>
      <c r="F17" s="10">
        <v>126669215.45100001</v>
      </c>
      <c r="G17" s="10">
        <v>653146218.52836204</v>
      </c>
      <c r="H17" s="10">
        <v>1363727.5</v>
      </c>
      <c r="I17" s="10">
        <v>1685071.2050000001</v>
      </c>
      <c r="J17" s="10">
        <v>1106043333.7033579</v>
      </c>
      <c r="K17" s="11"/>
      <c r="L17" s="11"/>
      <c r="M17" s="12"/>
      <c r="N17" s="12"/>
    </row>
    <row r="18" spans="2:14" x14ac:dyDescent="0.2">
      <c r="B18" s="8">
        <v>11</v>
      </c>
      <c r="C18" s="8" t="s">
        <v>25</v>
      </c>
      <c r="D18" s="9" t="str">
        <f t="shared" si="0"/>
        <v>resumen_montos_facturados_TD_AR_CDpRGL_2502pre.xlsx</v>
      </c>
      <c r="E18" s="8" t="s">
        <v>25</v>
      </c>
      <c r="F18" s="10">
        <v>13865</v>
      </c>
      <c r="G18" s="10">
        <v>339424.397</v>
      </c>
      <c r="H18" s="10">
        <v>0</v>
      </c>
      <c r="I18" s="10">
        <v>0</v>
      </c>
      <c r="J18" s="10">
        <v>561455.82128151087</v>
      </c>
      <c r="K18" s="11"/>
      <c r="L18" s="11"/>
      <c r="M18" s="12"/>
      <c r="N18" s="12"/>
    </row>
    <row r="19" spans="2:14" x14ac:dyDescent="0.2">
      <c r="B19" s="8">
        <v>12</v>
      </c>
      <c r="C19" s="8" t="s">
        <v>26</v>
      </c>
      <c r="D19" s="9" t="str">
        <f t="shared" si="0"/>
        <v>resumen_montos_facturados_TD_AR_CDpRGL_2502pre.xlsx</v>
      </c>
      <c r="E19" s="8" t="s">
        <v>26</v>
      </c>
      <c r="F19" s="10">
        <v>37453496.123000003</v>
      </c>
      <c r="G19" s="10">
        <v>71144273.245000005</v>
      </c>
      <c r="H19" s="10">
        <v>780328.14</v>
      </c>
      <c r="I19" s="10">
        <v>210386.84599999999</v>
      </c>
      <c r="J19" s="10">
        <v>-59021461.644696221</v>
      </c>
      <c r="K19" s="11"/>
      <c r="L19" s="11"/>
      <c r="M19" s="12"/>
      <c r="N19" s="12"/>
    </row>
    <row r="20" spans="2:14" x14ac:dyDescent="0.2">
      <c r="B20" s="8">
        <v>13</v>
      </c>
      <c r="C20" s="8" t="s">
        <v>27</v>
      </c>
      <c r="D20" s="9" t="str">
        <f t="shared" si="0"/>
        <v>resumen_montos_facturados_TD_AR_CDpRGL_2502pre.xlsx</v>
      </c>
      <c r="E20" s="8" t="s">
        <v>27</v>
      </c>
      <c r="F20" s="10">
        <v>2055527.727</v>
      </c>
      <c r="G20" s="10">
        <v>17009823.287999999</v>
      </c>
      <c r="H20" s="10">
        <v>0</v>
      </c>
      <c r="I20" s="10">
        <v>27099.214</v>
      </c>
      <c r="J20" s="10">
        <v>35212113.125444077</v>
      </c>
      <c r="K20" s="11"/>
      <c r="L20" s="11"/>
      <c r="M20" s="12"/>
      <c r="N20" s="12"/>
    </row>
    <row r="21" spans="2:14" x14ac:dyDescent="0.2">
      <c r="B21" s="8">
        <v>14</v>
      </c>
      <c r="C21" s="8" t="s">
        <v>28</v>
      </c>
      <c r="D21" s="9" t="str">
        <f t="shared" si="0"/>
        <v>resumen_montos_facturados_TD_AR_CDpRGL_2502pre.xlsx</v>
      </c>
      <c r="E21" s="8" t="s">
        <v>28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1"/>
      <c r="L21" s="11"/>
      <c r="M21" s="12"/>
      <c r="N21" s="12"/>
    </row>
    <row r="22" spans="2:14" x14ac:dyDescent="0.2">
      <c r="B22" s="8">
        <v>15</v>
      </c>
      <c r="C22" s="8" t="s">
        <v>29</v>
      </c>
      <c r="D22" s="9" t="str">
        <f t="shared" si="0"/>
        <v>resumen_montos_facturados_TD_AR_CDpRGL_2502pre.xlsx</v>
      </c>
      <c r="E22" s="8" t="s">
        <v>29</v>
      </c>
      <c r="F22" s="10">
        <v>1387239</v>
      </c>
      <c r="G22" s="10">
        <v>7103391.9000000004</v>
      </c>
      <c r="H22" s="10">
        <v>378</v>
      </c>
      <c r="I22" s="10">
        <v>28244</v>
      </c>
      <c r="J22" s="10">
        <v>-2802320.3422332942</v>
      </c>
      <c r="K22" s="11"/>
      <c r="L22" s="11"/>
      <c r="M22" s="12"/>
      <c r="N22" s="12"/>
    </row>
    <row r="23" spans="2:14" x14ac:dyDescent="0.2">
      <c r="B23" s="8">
        <v>16</v>
      </c>
      <c r="C23" s="8" t="s">
        <v>30</v>
      </c>
      <c r="D23" s="9" t="str">
        <f t="shared" si="0"/>
        <v>resumen_montos_facturados_TD_AR_CDpRGL_2502pre.xlsx</v>
      </c>
      <c r="E23" s="8" t="s">
        <v>30</v>
      </c>
      <c r="F23" s="10">
        <v>12579642</v>
      </c>
      <c r="G23" s="10">
        <v>14055928</v>
      </c>
      <c r="H23" s="10">
        <v>805237</v>
      </c>
      <c r="I23" s="10">
        <v>160722</v>
      </c>
      <c r="J23" s="10">
        <v>35231760.826305248</v>
      </c>
      <c r="K23" s="11"/>
      <c r="L23" s="11"/>
      <c r="M23" s="12"/>
      <c r="N23" s="12"/>
    </row>
    <row r="24" spans="2:14" x14ac:dyDescent="0.2">
      <c r="B24" s="8">
        <v>17</v>
      </c>
      <c r="C24" s="8" t="s">
        <v>31</v>
      </c>
      <c r="D24" s="9" t="str">
        <f t="shared" si="0"/>
        <v>resumen_montos_facturados_TD_AR_CDpRGL_2502pre.xlsx</v>
      </c>
      <c r="E24" s="8" t="s">
        <v>31</v>
      </c>
      <c r="F24" s="10">
        <v>1658481</v>
      </c>
      <c r="G24" s="10">
        <v>13698754</v>
      </c>
      <c r="H24" s="10">
        <v>1</v>
      </c>
      <c r="I24" s="10">
        <v>81836</v>
      </c>
      <c r="J24" s="10">
        <v>22023650.019398801</v>
      </c>
      <c r="K24" s="11"/>
      <c r="L24" s="11"/>
      <c r="M24" s="12"/>
      <c r="N24" s="12"/>
    </row>
    <row r="25" spans="2:14" x14ac:dyDescent="0.2">
      <c r="B25" s="8">
        <v>18</v>
      </c>
      <c r="C25" s="8" t="s">
        <v>32</v>
      </c>
      <c r="D25" s="9" t="str">
        <f t="shared" si="0"/>
        <v>resumen_montos_facturados_TD_AR_CDpRGL_2502pre.xlsx</v>
      </c>
      <c r="E25" s="8" t="s">
        <v>32</v>
      </c>
      <c r="F25" s="10">
        <v>784466</v>
      </c>
      <c r="G25" s="10">
        <v>4993205</v>
      </c>
      <c r="H25" s="10">
        <v>273368</v>
      </c>
      <c r="I25" s="10">
        <v>41834</v>
      </c>
      <c r="J25" s="10">
        <v>-11820259.716186309</v>
      </c>
      <c r="K25" s="11"/>
      <c r="L25" s="11"/>
      <c r="M25" s="12"/>
      <c r="N25" s="12"/>
    </row>
    <row r="26" spans="2:14" x14ac:dyDescent="0.2">
      <c r="B26" s="8">
        <v>19</v>
      </c>
      <c r="C26" s="8" t="s">
        <v>33</v>
      </c>
      <c r="D26" s="9" t="str">
        <f t="shared" si="0"/>
        <v>resumen_montos_facturados_TD_AR_CDpRGL_2502pre.xlsx</v>
      </c>
      <c r="E26" s="8" t="s">
        <v>33</v>
      </c>
      <c r="F26" s="10">
        <v>2279267</v>
      </c>
      <c r="G26" s="10">
        <v>2372370</v>
      </c>
      <c r="H26" s="10">
        <v>108079</v>
      </c>
      <c r="I26" s="10">
        <v>8368</v>
      </c>
      <c r="J26" s="10">
        <v>6119111.7480781069</v>
      </c>
      <c r="K26" s="11"/>
      <c r="L26" s="11"/>
      <c r="M26" s="12"/>
      <c r="N26" s="12"/>
    </row>
    <row r="27" spans="2:14" x14ac:dyDescent="0.2">
      <c r="B27" s="8">
        <v>20</v>
      </c>
      <c r="C27" s="8" t="s">
        <v>34</v>
      </c>
      <c r="D27" s="9" t="str">
        <f t="shared" si="0"/>
        <v>resumen_montos_facturados_TD_AR_CDpRGL_2502pre.xlsx</v>
      </c>
      <c r="E27" s="8" t="s">
        <v>34</v>
      </c>
      <c r="F27" s="10">
        <v>5547113</v>
      </c>
      <c r="G27" s="10">
        <v>8393589</v>
      </c>
      <c r="H27" s="10">
        <v>385170</v>
      </c>
      <c r="I27" s="10">
        <v>97962</v>
      </c>
      <c r="J27" s="10">
        <v>-2618573.2387491581</v>
      </c>
      <c r="K27" s="11"/>
      <c r="L27" s="11"/>
      <c r="M27" s="12"/>
      <c r="N27" s="12"/>
    </row>
    <row r="28" spans="2:14" x14ac:dyDescent="0.2">
      <c r="B28" s="8">
        <v>21</v>
      </c>
      <c r="C28" s="8" t="s">
        <v>35</v>
      </c>
      <c r="D28" s="9" t="str">
        <f t="shared" si="0"/>
        <v>resumen_montos_facturados_TD_AR_CDpRGL_2502pre.xlsx</v>
      </c>
      <c r="E28" s="8" t="s">
        <v>35</v>
      </c>
      <c r="F28" s="10">
        <v>20343709.010000002</v>
      </c>
      <c r="G28" s="10">
        <v>59942717.369999997</v>
      </c>
      <c r="H28" s="10">
        <v>244851.97099999999</v>
      </c>
      <c r="I28" s="10">
        <v>182729</v>
      </c>
      <c r="J28" s="10">
        <v>-102683899.7636556</v>
      </c>
      <c r="K28" s="11"/>
      <c r="L28" s="11"/>
      <c r="M28" s="12"/>
      <c r="N28" s="12"/>
    </row>
    <row r="29" spans="2:14" x14ac:dyDescent="0.2">
      <c r="B29" s="8">
        <v>22</v>
      </c>
      <c r="C29" s="8" t="s">
        <v>36</v>
      </c>
      <c r="D29" s="9" t="str">
        <f t="shared" si="0"/>
        <v>resumen_montos_facturados_TD_AR_CDpRGL_2502pre.xlsx</v>
      </c>
      <c r="E29" s="8" t="s">
        <v>36</v>
      </c>
      <c r="F29" s="10">
        <v>7232589.8899999997</v>
      </c>
      <c r="G29" s="10">
        <v>4284916.54</v>
      </c>
      <c r="H29" s="10">
        <v>221082.74</v>
      </c>
      <c r="I29" s="10">
        <v>24298</v>
      </c>
      <c r="J29" s="10">
        <v>3186431.1654154281</v>
      </c>
      <c r="K29" s="11"/>
      <c r="L29" s="11"/>
      <c r="M29" s="12"/>
      <c r="N29" s="12"/>
    </row>
    <row r="30" spans="2:14" x14ac:dyDescent="0.2">
      <c r="B30" s="8">
        <v>23</v>
      </c>
      <c r="C30" s="8" t="s">
        <v>37</v>
      </c>
      <c r="D30" s="9" t="str">
        <f t="shared" si="0"/>
        <v>resumen_montos_facturados_TD_AR_CDpRGL_2502pre.xlsx</v>
      </c>
      <c r="E30" s="8" t="s">
        <v>37</v>
      </c>
      <c r="F30" s="10">
        <v>37963452.560000002</v>
      </c>
      <c r="G30" s="10">
        <v>92895852.049999997</v>
      </c>
      <c r="H30" s="10">
        <v>274390.12</v>
      </c>
      <c r="I30" s="10">
        <v>269443.40000000002</v>
      </c>
      <c r="J30" s="10">
        <v>-148325655.02751359</v>
      </c>
      <c r="K30" s="11"/>
      <c r="L30" s="11"/>
      <c r="M30" s="12"/>
      <c r="N30" s="12"/>
    </row>
    <row r="31" spans="2:14" x14ac:dyDescent="0.2">
      <c r="B31" s="8">
        <v>24</v>
      </c>
      <c r="C31" s="8" t="s">
        <v>38</v>
      </c>
      <c r="D31" s="9" t="str">
        <f t="shared" si="0"/>
        <v>resumen_montos_facturados_TD_AR_CDpRGL_2502pre.xlsx</v>
      </c>
      <c r="E31" s="8" t="s">
        <v>38</v>
      </c>
      <c r="F31" s="10">
        <v>2775139</v>
      </c>
      <c r="G31" s="10">
        <v>3228410</v>
      </c>
      <c r="H31" s="10">
        <v>34546</v>
      </c>
      <c r="I31" s="10">
        <v>15593</v>
      </c>
      <c r="J31" s="10">
        <v>4825021.6511879535</v>
      </c>
      <c r="K31" s="11"/>
      <c r="L31" s="11"/>
      <c r="M31" s="12"/>
      <c r="N31" s="12"/>
    </row>
    <row r="32" spans="2:14" x14ac:dyDescent="0.2">
      <c r="B32" s="8">
        <v>25</v>
      </c>
      <c r="C32" s="8" t="s">
        <v>39</v>
      </c>
      <c r="D32" s="9" t="str">
        <f t="shared" si="0"/>
        <v>resumen_montos_facturados_TD_AR_CDpRGL_2502pre.xlsx</v>
      </c>
      <c r="E32" s="8" t="s">
        <v>39</v>
      </c>
      <c r="F32" s="10">
        <v>47169688.200000003</v>
      </c>
      <c r="G32" s="10">
        <v>129845747.15020999</v>
      </c>
      <c r="H32" s="10">
        <v>2333169.5</v>
      </c>
      <c r="I32" s="10">
        <v>871069.2</v>
      </c>
      <c r="J32" s="10">
        <v>-260181803.62076369</v>
      </c>
      <c r="K32" s="11"/>
      <c r="L32" s="11"/>
      <c r="M32" s="12"/>
      <c r="N32" s="12"/>
    </row>
    <row r="33" spans="2:14" x14ac:dyDescent="0.2">
      <c r="B33" s="8">
        <v>26</v>
      </c>
      <c r="C33" s="8" t="s">
        <v>40</v>
      </c>
      <c r="D33" s="9" t="str">
        <f t="shared" si="0"/>
        <v>resumen_montos_facturados_TD_AR_CDpRGL_2502pre.xlsx</v>
      </c>
      <c r="E33" s="8" t="s">
        <v>40</v>
      </c>
      <c r="F33" s="10">
        <v>2024167.1</v>
      </c>
      <c r="G33" s="10">
        <v>3180908.1</v>
      </c>
      <c r="H33" s="10">
        <v>43633</v>
      </c>
      <c r="I33" s="10">
        <v>103787.1</v>
      </c>
      <c r="J33" s="10">
        <v>8091925.5078930603</v>
      </c>
      <c r="K33" s="11"/>
      <c r="L33" s="11"/>
      <c r="M33" s="12"/>
      <c r="N33" s="12"/>
    </row>
    <row r="34" spans="2:14" x14ac:dyDescent="0.2">
      <c r="B34" s="8">
        <v>27</v>
      </c>
      <c r="C34" s="8" t="s">
        <v>41</v>
      </c>
      <c r="D34" s="9" t="str">
        <f t="shared" si="0"/>
        <v>resumen_montos_facturados_TD_AR_CDpRGL_2502pre.xlsx</v>
      </c>
      <c r="E34" s="8" t="s">
        <v>41</v>
      </c>
      <c r="F34" s="10">
        <v>1599535.9</v>
      </c>
      <c r="G34" s="10">
        <v>11659642.3651</v>
      </c>
      <c r="H34" s="10">
        <v>2846</v>
      </c>
      <c r="I34" s="10">
        <v>57695</v>
      </c>
      <c r="J34" s="10">
        <v>20899131.312395569</v>
      </c>
      <c r="K34" s="11"/>
      <c r="L34" s="11"/>
      <c r="M34" s="12"/>
      <c r="N34" s="12"/>
    </row>
    <row r="35" spans="2:14" x14ac:dyDescent="0.2">
      <c r="B35" s="8">
        <v>28</v>
      </c>
      <c r="C35" s="8" t="s">
        <v>42</v>
      </c>
      <c r="D35" s="9" t="str">
        <f t="shared" si="0"/>
        <v>resumen_montos_facturados_TD_AR_CDpRGL_2502pre.xlsx</v>
      </c>
      <c r="E35" s="8" t="s">
        <v>42</v>
      </c>
      <c r="F35" s="10">
        <v>8000439.7999999998</v>
      </c>
      <c r="G35" s="10">
        <v>6815829.9396000002</v>
      </c>
      <c r="H35" s="10">
        <v>335599</v>
      </c>
      <c r="I35" s="10">
        <v>39272.500200000002</v>
      </c>
      <c r="J35" s="10">
        <v>-64306906.495195493</v>
      </c>
      <c r="K35" s="11"/>
      <c r="L35" s="11"/>
      <c r="M35" s="12"/>
      <c r="N35" s="12"/>
    </row>
    <row r="36" spans="2:14" x14ac:dyDescent="0.2">
      <c r="B36" s="8">
        <v>29</v>
      </c>
      <c r="C36" s="8" t="s">
        <v>43</v>
      </c>
      <c r="D36" s="9" t="str">
        <f t="shared" si="0"/>
        <v>resumen_montos_facturados_TD_AR_CDpRGL_2502pre.xlsx</v>
      </c>
      <c r="E36" s="8" t="s">
        <v>43</v>
      </c>
      <c r="F36" s="10">
        <v>9889670.5999999996</v>
      </c>
      <c r="G36" s="10">
        <v>5446425.7867000001</v>
      </c>
      <c r="H36" s="10">
        <v>260291</v>
      </c>
      <c r="I36" s="10">
        <v>76425</v>
      </c>
      <c r="J36" s="10">
        <v>20323545.875247341</v>
      </c>
      <c r="K36" s="11"/>
      <c r="L36" s="11"/>
      <c r="M36" s="12"/>
      <c r="N36" s="12"/>
    </row>
    <row r="37" spans="2:14" x14ac:dyDescent="0.2">
      <c r="B37" s="8">
        <v>30</v>
      </c>
      <c r="C37" s="8" t="s">
        <v>44</v>
      </c>
      <c r="D37" s="9" t="str">
        <f t="shared" si="0"/>
        <v>resumen_montos_facturados_TD_AR_CDpRGL_2502pre.xlsx</v>
      </c>
      <c r="E37" s="8" t="s">
        <v>45</v>
      </c>
      <c r="F37" s="10">
        <v>631486</v>
      </c>
      <c r="G37" s="10">
        <v>991478</v>
      </c>
      <c r="H37" s="10">
        <v>34425</v>
      </c>
      <c r="I37" s="10">
        <v>12094</v>
      </c>
      <c r="J37" s="10">
        <v>-14077598.925839029</v>
      </c>
      <c r="K37" s="11"/>
      <c r="L37" s="11"/>
      <c r="M37" s="12"/>
      <c r="N37" s="12"/>
    </row>
    <row r="38" spans="2:14" x14ac:dyDescent="0.2">
      <c r="B38" s="8">
        <v>31</v>
      </c>
      <c r="C38" s="8" t="s">
        <v>46</v>
      </c>
      <c r="D38" s="9" t="str">
        <f t="shared" si="0"/>
        <v>resumen_montos_facturados_TD_AR_CDpRGL_2502pre.xlsx</v>
      </c>
      <c r="E38" s="8" t="s">
        <v>46</v>
      </c>
      <c r="F38" s="10">
        <v>3488306.997</v>
      </c>
      <c r="G38" s="10">
        <v>17890534.035999998</v>
      </c>
      <c r="H38" s="10">
        <v>6102</v>
      </c>
      <c r="I38" s="10">
        <v>25475.017</v>
      </c>
      <c r="J38" s="10">
        <v>32189275.345589329</v>
      </c>
      <c r="K38" s="11"/>
      <c r="L38" s="11"/>
      <c r="M38" s="12"/>
      <c r="N38" s="12"/>
    </row>
    <row r="39" spans="2:14" x14ac:dyDescent="0.2">
      <c r="B39" s="8">
        <v>32</v>
      </c>
      <c r="C39" s="8" t="s">
        <v>47</v>
      </c>
      <c r="D39" s="9" t="str">
        <f t="shared" si="0"/>
        <v>resumen_montos_facturados_TD_AR_CDpRGL_2502pre.xlsx</v>
      </c>
      <c r="E39" s="8" t="s">
        <v>47</v>
      </c>
      <c r="F39" s="10">
        <v>5923962.2429999998</v>
      </c>
      <c r="G39" s="10">
        <v>26188400.357999999</v>
      </c>
      <c r="H39" s="10">
        <v>15941.1</v>
      </c>
      <c r="I39" s="10">
        <v>14894.528</v>
      </c>
      <c r="J39" s="10">
        <v>-89230853.31280382</v>
      </c>
      <c r="K39" s="11"/>
      <c r="L39" s="11"/>
      <c r="M39" s="12"/>
      <c r="N39" s="12"/>
    </row>
    <row r="40" spans="2:14" x14ac:dyDescent="0.2">
      <c r="B40" s="8">
        <v>33</v>
      </c>
      <c r="C40" s="8" t="s">
        <v>48</v>
      </c>
      <c r="D40" s="9" t="str">
        <f t="shared" si="0"/>
        <v>resumen_montos_facturados_TD_AR_CDpRGL_2502pre.xlsx</v>
      </c>
      <c r="E40" s="8" t="s">
        <v>48</v>
      </c>
      <c r="F40" s="10">
        <v>10363964.34</v>
      </c>
      <c r="G40" s="10">
        <v>48028105.623999998</v>
      </c>
      <c r="H40" s="10">
        <v>79292.58</v>
      </c>
      <c r="I40" s="10">
        <v>73327.173999999999</v>
      </c>
      <c r="J40" s="10">
        <v>-65957043.787241071</v>
      </c>
      <c r="K40" s="11"/>
      <c r="L40" s="11"/>
      <c r="M40" s="12"/>
      <c r="N40" s="12"/>
    </row>
    <row r="41" spans="2:14" x14ac:dyDescent="0.2">
      <c r="B41" s="8">
        <v>34</v>
      </c>
      <c r="C41" s="8" t="s">
        <v>49</v>
      </c>
      <c r="D41" s="9" t="str">
        <f t="shared" si="0"/>
        <v>resumen_montos_facturados_TD_AR_CDpRGL_2502pre.xlsx</v>
      </c>
      <c r="E41" s="8" t="s">
        <v>49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1"/>
      <c r="L41" s="11"/>
      <c r="M41" s="12"/>
      <c r="N41" s="12"/>
    </row>
    <row r="42" spans="2:14" x14ac:dyDescent="0.2">
      <c r="B42" s="8">
        <v>35</v>
      </c>
      <c r="C42" s="8" t="s">
        <v>50</v>
      </c>
      <c r="D42" s="9" t="str">
        <f t="shared" si="0"/>
        <v>resumen_montos_facturados_TD_AR_CDpRGL_2502pre.xlsx</v>
      </c>
      <c r="E42" s="8" t="s">
        <v>50</v>
      </c>
      <c r="F42" s="10">
        <v>0</v>
      </c>
      <c r="G42" s="10">
        <v>7680.2999999999993</v>
      </c>
      <c r="H42" s="10">
        <v>0</v>
      </c>
      <c r="I42" s="10">
        <v>0</v>
      </c>
      <c r="J42" s="10">
        <v>0</v>
      </c>
      <c r="K42" s="11"/>
      <c r="L42" s="11"/>
      <c r="M42" s="12"/>
      <c r="N42" s="12"/>
    </row>
    <row r="43" spans="2:14" x14ac:dyDescent="0.2">
      <c r="B43" s="8">
        <v>36</v>
      </c>
      <c r="C43" s="8" t="s">
        <v>51</v>
      </c>
      <c r="D43" s="9" t="str">
        <f t="shared" si="0"/>
        <v>resumen_montos_facturados_TD_AR_CDpRGL_2502pre.xlsx</v>
      </c>
      <c r="E43" s="8" t="s">
        <v>51</v>
      </c>
      <c r="F43" s="10">
        <v>32785.800000000003</v>
      </c>
      <c r="G43" s="10">
        <v>63849.399999999987</v>
      </c>
      <c r="H43" s="10">
        <v>0</v>
      </c>
      <c r="I43" s="10">
        <v>0</v>
      </c>
      <c r="J43" s="10">
        <v>-2286363.255466803</v>
      </c>
      <c r="K43" s="11"/>
      <c r="L43" s="11"/>
      <c r="M43" s="12"/>
      <c r="N43" s="12"/>
    </row>
    <row r="44" spans="2:14" x14ac:dyDescent="0.2">
      <c r="B44" s="13" t="s">
        <v>52</v>
      </c>
      <c r="C44" s="14"/>
      <c r="D44" s="14"/>
      <c r="E44" s="15"/>
      <c r="F44" s="16">
        <f>SUM(F8:F43)</f>
        <v>550593057.95993447</v>
      </c>
      <c r="G44" s="16">
        <f>SUM(G8:G43)</f>
        <v>1696300991.8939722</v>
      </c>
      <c r="H44" s="16">
        <f>SUM(H8:H43)</f>
        <v>10893095.265000001</v>
      </c>
      <c r="I44" s="16">
        <f>SUM(I8:I43)</f>
        <v>2094804.5562</v>
      </c>
      <c r="J44" s="16">
        <f>SUM(J8:J43)</f>
        <v>459840902.07995832</v>
      </c>
      <c r="K44" s="11"/>
      <c r="L44" s="11"/>
      <c r="M44" s="12"/>
      <c r="N44" s="12"/>
    </row>
    <row r="45" spans="2:14" x14ac:dyDescent="0.2">
      <c r="N45" s="12"/>
    </row>
    <row r="46" spans="2:14" x14ac:dyDescent="0.2">
      <c r="F46" s="18"/>
      <c r="G46" s="18"/>
      <c r="H46" s="18"/>
      <c r="I46" s="18"/>
      <c r="J46" s="18"/>
      <c r="N46" s="12"/>
    </row>
  </sheetData>
  <mergeCells count="6">
    <mergeCell ref="E2:F2"/>
    <mergeCell ref="B3:C3"/>
    <mergeCell ref="B6:B7"/>
    <mergeCell ref="C6:C7"/>
    <mergeCell ref="D6:D7"/>
    <mergeCell ref="E6:E7"/>
  </mergeCells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D095A-3075-4EC2-B65F-B5C9FDB79EB0}">
  <sheetPr codeName="Hoja13">
    <tabColor theme="0"/>
  </sheetPr>
  <dimension ref="B2:O46"/>
  <sheetViews>
    <sheetView showGridLines="0" zoomScale="85" zoomScaleNormal="85" workbookViewId="0"/>
  </sheetViews>
  <sheetFormatPr baseColWidth="10" defaultRowHeight="12.75" x14ac:dyDescent="0.2"/>
  <cols>
    <col min="2" max="2" width="3.42578125" customWidth="1"/>
    <col min="3" max="3" width="16.28515625" bestFit="1" customWidth="1"/>
    <col min="4" max="4" width="49.5703125" bestFit="1" customWidth="1"/>
    <col min="5" max="5" width="12" customWidth="1"/>
    <col min="6" max="6" width="16" customWidth="1"/>
    <col min="7" max="7" width="18.28515625" customWidth="1"/>
    <col min="8" max="8" width="13.7109375" customWidth="1"/>
    <col min="9" max="9" width="12.140625" customWidth="1"/>
    <col min="10" max="10" width="12.140625" bestFit="1" customWidth="1"/>
    <col min="11" max="11" width="12.85546875" customWidth="1"/>
    <col min="12" max="12" width="13.7109375" customWidth="1"/>
    <col min="13" max="13" width="14.140625" customWidth="1"/>
    <col min="14" max="15" width="11.5703125" bestFit="1" customWidth="1"/>
    <col min="16" max="16" width="13.28515625" customWidth="1"/>
    <col min="17" max="17" width="12.7109375" customWidth="1"/>
  </cols>
  <sheetData>
    <row r="2" spans="2:15" x14ac:dyDescent="0.2">
      <c r="B2" s="1" t="s">
        <v>0</v>
      </c>
      <c r="D2" s="1"/>
      <c r="E2" s="2" t="s">
        <v>1</v>
      </c>
      <c r="F2" s="2"/>
      <c r="G2" s="3" t="str">
        <f>'Entrada AR'!$G$2</f>
        <v>pre</v>
      </c>
    </row>
    <row r="3" spans="2:15" x14ac:dyDescent="0.2">
      <c r="B3" s="4">
        <f>'Entrada AR'!FechaFacturacion</f>
        <v>45689</v>
      </c>
      <c r="C3" s="4"/>
      <c r="D3" s="5"/>
    </row>
    <row r="4" spans="2:15" x14ac:dyDescent="0.2">
      <c r="B4" s="1"/>
    </row>
    <row r="6" spans="2:15" x14ac:dyDescent="0.2">
      <c r="B6" s="6" t="s">
        <v>3</v>
      </c>
      <c r="C6" s="6" t="s">
        <v>4</v>
      </c>
      <c r="D6" s="6" t="s">
        <v>5</v>
      </c>
      <c r="E6" s="6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55</v>
      </c>
      <c r="N6" s="12"/>
    </row>
    <row r="7" spans="2:15" x14ac:dyDescent="0.2">
      <c r="B7" s="6"/>
      <c r="C7" s="6"/>
      <c r="D7" s="6"/>
      <c r="E7" s="6"/>
      <c r="F7" s="7" t="s">
        <v>12</v>
      </c>
      <c r="G7" s="7" t="s">
        <v>12</v>
      </c>
      <c r="H7" s="7" t="s">
        <v>12</v>
      </c>
      <c r="I7" s="7" t="s">
        <v>12</v>
      </c>
      <c r="J7" s="7" t="s">
        <v>13</v>
      </c>
      <c r="N7" s="12"/>
      <c r="O7" s="17"/>
    </row>
    <row r="8" spans="2:15" x14ac:dyDescent="0.2">
      <c r="B8" s="8">
        <v>1</v>
      </c>
      <c r="C8" s="8" t="s">
        <v>14</v>
      </c>
      <c r="D8" s="9" t="str">
        <f>"resumen_montos_facturados_TD_AR_CDpRGL"&amp;"_"&amp;TEXT($B$3,"yymm")&amp;$G$2&amp;".xlsx"</f>
        <v>resumen_montos_facturados_TD_AR_CDpRGL_2502pre.xlsx</v>
      </c>
      <c r="E8" s="8" t="s">
        <v>14</v>
      </c>
      <c r="F8" s="10">
        <v>5858488</v>
      </c>
      <c r="G8" s="10">
        <v>3604124</v>
      </c>
      <c r="H8" s="10">
        <v>182555</v>
      </c>
      <c r="I8" s="10">
        <v>50278</v>
      </c>
      <c r="J8" s="10">
        <v>6714525.3877317877</v>
      </c>
      <c r="K8" s="11"/>
      <c r="L8" s="11"/>
      <c r="M8" s="12"/>
      <c r="N8" s="12"/>
    </row>
    <row r="9" spans="2:15" x14ac:dyDescent="0.2">
      <c r="B9" s="8">
        <v>2</v>
      </c>
      <c r="C9" s="8" t="s">
        <v>15</v>
      </c>
      <c r="D9" s="9" t="str">
        <f t="shared" ref="D9:D43" si="0">"resumen_montos_facturados_TD_AR_CDpRGL"&amp;"_"&amp;TEXT($B$3,"yymm")&amp;$G$2&amp;".xlsx"</f>
        <v>resumen_montos_facturados_TD_AR_CDpRGL_2502pre.xlsx</v>
      </c>
      <c r="E9" s="8" t="s">
        <v>15</v>
      </c>
      <c r="F9" s="10">
        <v>1351299</v>
      </c>
      <c r="G9" s="10">
        <v>4568128</v>
      </c>
      <c r="H9" s="10">
        <v>2684</v>
      </c>
      <c r="I9" s="10">
        <v>40256</v>
      </c>
      <c r="J9" s="10">
        <v>3974015.8616773989</v>
      </c>
      <c r="K9" s="11"/>
      <c r="L9" s="11"/>
      <c r="M9" s="12"/>
      <c r="N9" s="12"/>
    </row>
    <row r="10" spans="2:15" x14ac:dyDescent="0.2">
      <c r="B10" s="8">
        <v>3</v>
      </c>
      <c r="C10" s="8" t="s">
        <v>16</v>
      </c>
      <c r="D10" s="9" t="str">
        <f t="shared" si="0"/>
        <v>resumen_montos_facturados_TD_AR_CDpRGL_2502pre.xlsx</v>
      </c>
      <c r="E10" s="8" t="s">
        <v>16</v>
      </c>
      <c r="F10" s="10">
        <v>3609797</v>
      </c>
      <c r="G10" s="10">
        <v>13736630.449999999</v>
      </c>
      <c r="H10" s="10">
        <v>0</v>
      </c>
      <c r="I10" s="10">
        <v>32662</v>
      </c>
      <c r="J10" s="10">
        <v>13148663.589220211</v>
      </c>
      <c r="K10" s="11"/>
      <c r="L10" s="11"/>
      <c r="M10" s="12"/>
      <c r="N10" s="12"/>
    </row>
    <row r="11" spans="2:15" x14ac:dyDescent="0.2">
      <c r="B11" s="8">
        <v>4</v>
      </c>
      <c r="C11" s="8" t="s">
        <v>17</v>
      </c>
      <c r="D11" s="9" t="str">
        <f t="shared" si="0"/>
        <v>resumen_montos_facturados_TD_AR_CDpRGL_2502pre.xlsx</v>
      </c>
      <c r="E11" s="8" t="s">
        <v>17</v>
      </c>
      <c r="F11" s="10">
        <v>497568</v>
      </c>
      <c r="G11" s="10">
        <v>1473676</v>
      </c>
      <c r="H11" s="10">
        <v>0</v>
      </c>
      <c r="I11" s="10">
        <v>0</v>
      </c>
      <c r="J11" s="10">
        <v>1660628.3896302939</v>
      </c>
      <c r="K11" s="11"/>
      <c r="L11" s="11"/>
      <c r="M11" s="12"/>
      <c r="N11" s="12"/>
    </row>
    <row r="12" spans="2:15" x14ac:dyDescent="0.2">
      <c r="B12" s="8">
        <v>5</v>
      </c>
      <c r="C12" s="8" t="s">
        <v>18</v>
      </c>
      <c r="D12" s="9" t="str">
        <f t="shared" si="0"/>
        <v>resumen_montos_facturados_TD_AR_CDpRGL_2502pre.xlsx</v>
      </c>
      <c r="E12" s="8" t="s">
        <v>18</v>
      </c>
      <c r="F12" s="10">
        <v>179075049.39700001</v>
      </c>
      <c r="G12" s="10">
        <v>449687404.71100003</v>
      </c>
      <c r="H12" s="10">
        <v>2809205.594</v>
      </c>
      <c r="I12" s="10">
        <v>-2192337.3640000001</v>
      </c>
      <c r="J12" s="10">
        <v>-295750213.37640542</v>
      </c>
      <c r="K12" s="11"/>
      <c r="L12" s="11"/>
      <c r="M12" s="12"/>
      <c r="N12" s="12"/>
    </row>
    <row r="13" spans="2:15" x14ac:dyDescent="0.2">
      <c r="B13" s="8">
        <v>6</v>
      </c>
      <c r="C13" s="8" t="s">
        <v>19</v>
      </c>
      <c r="D13" s="9" t="str">
        <f t="shared" si="0"/>
        <v>resumen_montos_facturados_TD_AR_CDpRGL_2502pre.xlsx</v>
      </c>
      <c r="E13" s="8" t="s">
        <v>20</v>
      </c>
      <c r="F13" s="10">
        <v>73958.002999999997</v>
      </c>
      <c r="G13" s="10">
        <v>1001024.439</v>
      </c>
      <c r="H13" s="10">
        <v>0</v>
      </c>
      <c r="I13" s="10">
        <v>0</v>
      </c>
      <c r="J13" s="10">
        <v>594777.50771944271</v>
      </c>
      <c r="K13" s="11"/>
      <c r="L13" s="11"/>
      <c r="M13" s="12"/>
      <c r="N13" s="12"/>
    </row>
    <row r="14" spans="2:15" x14ac:dyDescent="0.2">
      <c r="B14" s="8">
        <v>7</v>
      </c>
      <c r="C14" s="8" t="s">
        <v>21</v>
      </c>
      <c r="D14" s="9" t="str">
        <f t="shared" si="0"/>
        <v>resumen_montos_facturados_TD_AR_CDpRGL_2502pre.xlsx</v>
      </c>
      <c r="E14" s="8" t="s">
        <v>21</v>
      </c>
      <c r="F14" s="10">
        <v>12259688.81893453</v>
      </c>
      <c r="G14" s="10">
        <v>19502529.916000001</v>
      </c>
      <c r="H14" s="10">
        <v>296192.02</v>
      </c>
      <c r="I14" s="10">
        <v>56319.735999999997</v>
      </c>
      <c r="J14" s="10">
        <v>-19130973.37910438</v>
      </c>
      <c r="K14" s="11"/>
      <c r="L14" s="11"/>
      <c r="M14" s="12"/>
      <c r="N14" s="12"/>
    </row>
    <row r="15" spans="2:15" x14ac:dyDescent="0.2">
      <c r="B15" s="8">
        <v>8</v>
      </c>
      <c r="C15" s="8" t="s">
        <v>22</v>
      </c>
      <c r="D15" s="9" t="str">
        <f t="shared" si="0"/>
        <v>resumen_montos_facturados_TD_AR_CDpRGL_2502pre.xlsx</v>
      </c>
      <c r="E15" s="8" t="s">
        <v>22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1"/>
      <c r="L15" s="11"/>
      <c r="M15" s="12"/>
      <c r="N15" s="12"/>
    </row>
    <row r="16" spans="2:15" x14ac:dyDescent="0.2">
      <c r="B16" s="8">
        <v>9</v>
      </c>
      <c r="C16" s="8" t="s">
        <v>23</v>
      </c>
      <c r="D16" s="9" t="str">
        <f t="shared" si="0"/>
        <v>resumen_montos_facturados_TD_AR_CDpRGL_2502pre.xlsx</v>
      </c>
      <c r="E16" s="8" t="s">
        <v>23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1"/>
      <c r="L16" s="11"/>
      <c r="M16" s="12"/>
      <c r="N16" s="12"/>
    </row>
    <row r="17" spans="2:14" x14ac:dyDescent="0.2">
      <c r="B17" s="8">
        <v>10</v>
      </c>
      <c r="C17" s="8" t="s">
        <v>24</v>
      </c>
      <c r="D17" s="9" t="str">
        <f t="shared" si="0"/>
        <v>resumen_montos_facturados_TD_AR_CDpRGL_2502pre.xlsx</v>
      </c>
      <c r="E17" s="8" t="s">
        <v>24</v>
      </c>
      <c r="F17" s="10">
        <v>126669215.45100001</v>
      </c>
      <c r="G17" s="10">
        <v>653146218.52836204</v>
      </c>
      <c r="H17" s="10">
        <v>1363727.5</v>
      </c>
      <c r="I17" s="10">
        <v>1685071.2050000001</v>
      </c>
      <c r="J17" s="10">
        <v>541993088.07195544</v>
      </c>
      <c r="K17" s="11"/>
      <c r="L17" s="11"/>
      <c r="M17" s="12"/>
      <c r="N17" s="12"/>
    </row>
    <row r="18" spans="2:14" x14ac:dyDescent="0.2">
      <c r="B18" s="8">
        <v>11</v>
      </c>
      <c r="C18" s="8" t="s">
        <v>25</v>
      </c>
      <c r="D18" s="9" t="str">
        <f t="shared" si="0"/>
        <v>resumen_montos_facturados_TD_AR_CDpRGL_2502pre.xlsx</v>
      </c>
      <c r="E18" s="8" t="s">
        <v>25</v>
      </c>
      <c r="F18" s="10">
        <v>13865</v>
      </c>
      <c r="G18" s="10">
        <v>339424.397</v>
      </c>
      <c r="H18" s="10">
        <v>0</v>
      </c>
      <c r="I18" s="10">
        <v>0</v>
      </c>
      <c r="J18" s="10">
        <v>257296.39876872191</v>
      </c>
      <c r="K18" s="11"/>
      <c r="L18" s="11"/>
      <c r="M18" s="12"/>
      <c r="N18" s="12"/>
    </row>
    <row r="19" spans="2:14" x14ac:dyDescent="0.2">
      <c r="B19" s="8">
        <v>12</v>
      </c>
      <c r="C19" s="8" t="s">
        <v>26</v>
      </c>
      <c r="D19" s="9" t="str">
        <f t="shared" si="0"/>
        <v>resumen_montos_facturados_TD_AR_CDpRGL_2502pre.xlsx</v>
      </c>
      <c r="E19" s="8" t="s">
        <v>26</v>
      </c>
      <c r="F19" s="10">
        <v>37453496.123000003</v>
      </c>
      <c r="G19" s="10">
        <v>71144273.245000005</v>
      </c>
      <c r="H19" s="10">
        <v>780328.14</v>
      </c>
      <c r="I19" s="10">
        <v>210386.84599999999</v>
      </c>
      <c r="J19" s="10">
        <v>-86182796.857540324</v>
      </c>
      <c r="K19" s="11"/>
      <c r="L19" s="11"/>
      <c r="M19" s="12"/>
      <c r="N19" s="12"/>
    </row>
    <row r="20" spans="2:14" x14ac:dyDescent="0.2">
      <c r="B20" s="8">
        <v>13</v>
      </c>
      <c r="C20" s="8" t="s">
        <v>27</v>
      </c>
      <c r="D20" s="9" t="str">
        <f t="shared" si="0"/>
        <v>resumen_montos_facturados_TD_AR_CDpRGL_2502pre.xlsx</v>
      </c>
      <c r="E20" s="8" t="s">
        <v>27</v>
      </c>
      <c r="F20" s="10">
        <v>2055527.727</v>
      </c>
      <c r="G20" s="10">
        <v>17009823.287999999</v>
      </c>
      <c r="H20" s="10">
        <v>0</v>
      </c>
      <c r="I20" s="10">
        <v>27099.214</v>
      </c>
      <c r="J20" s="10">
        <v>16104013.61583898</v>
      </c>
      <c r="K20" s="11"/>
      <c r="L20" s="11"/>
      <c r="M20" s="12"/>
      <c r="N20" s="12"/>
    </row>
    <row r="21" spans="2:14" x14ac:dyDescent="0.2">
      <c r="B21" s="8">
        <v>14</v>
      </c>
      <c r="C21" s="8" t="s">
        <v>28</v>
      </c>
      <c r="D21" s="9" t="str">
        <f t="shared" si="0"/>
        <v>resumen_montos_facturados_TD_AR_CDpRGL_2502pre.xlsx</v>
      </c>
      <c r="E21" s="8" t="s">
        <v>28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1"/>
      <c r="L21" s="11"/>
      <c r="M21" s="12"/>
      <c r="N21" s="12"/>
    </row>
    <row r="22" spans="2:14" x14ac:dyDescent="0.2">
      <c r="B22" s="8">
        <v>15</v>
      </c>
      <c r="C22" s="8" t="s">
        <v>29</v>
      </c>
      <c r="D22" s="9" t="str">
        <f t="shared" si="0"/>
        <v>resumen_montos_facturados_TD_AR_CDpRGL_2502pre.xlsx</v>
      </c>
      <c r="E22" s="8" t="s">
        <v>29</v>
      </c>
      <c r="F22" s="10">
        <v>1387239</v>
      </c>
      <c r="G22" s="10">
        <v>7103391.9000000004</v>
      </c>
      <c r="H22" s="10">
        <v>378</v>
      </c>
      <c r="I22" s="10">
        <v>28244</v>
      </c>
      <c r="J22" s="10">
        <v>5957555.6613557218</v>
      </c>
      <c r="K22" s="11"/>
      <c r="L22" s="11"/>
      <c r="M22" s="12"/>
      <c r="N22" s="12"/>
    </row>
    <row r="23" spans="2:14" x14ac:dyDescent="0.2">
      <c r="B23" s="8">
        <v>16</v>
      </c>
      <c r="C23" s="8" t="s">
        <v>30</v>
      </c>
      <c r="D23" s="9" t="str">
        <f t="shared" si="0"/>
        <v>resumen_montos_facturados_TD_AR_CDpRGL_2502pre.xlsx</v>
      </c>
      <c r="E23" s="8" t="s">
        <v>30</v>
      </c>
      <c r="F23" s="10">
        <v>12579642</v>
      </c>
      <c r="G23" s="10">
        <v>14055928</v>
      </c>
      <c r="H23" s="10">
        <v>805237</v>
      </c>
      <c r="I23" s="10">
        <v>160722</v>
      </c>
      <c r="J23" s="10">
        <v>17552165.100321181</v>
      </c>
      <c r="K23" s="11"/>
      <c r="L23" s="11"/>
      <c r="M23" s="12"/>
      <c r="N23" s="12"/>
    </row>
    <row r="24" spans="2:14" x14ac:dyDescent="0.2">
      <c r="B24" s="8">
        <v>17</v>
      </c>
      <c r="C24" s="8" t="s">
        <v>31</v>
      </c>
      <c r="D24" s="9" t="str">
        <f t="shared" si="0"/>
        <v>resumen_montos_facturados_TD_AR_CDpRGL_2502pre.xlsx</v>
      </c>
      <c r="E24" s="8" t="s">
        <v>31</v>
      </c>
      <c r="F24" s="10">
        <v>1658481</v>
      </c>
      <c r="G24" s="10">
        <v>13698754</v>
      </c>
      <c r="H24" s="10">
        <v>1</v>
      </c>
      <c r="I24" s="10">
        <v>81836</v>
      </c>
      <c r="J24" s="10">
        <v>10081930.292895179</v>
      </c>
      <c r="K24" s="11"/>
      <c r="L24" s="11"/>
      <c r="M24" s="12"/>
      <c r="N24" s="12"/>
    </row>
    <row r="25" spans="2:14" x14ac:dyDescent="0.2">
      <c r="B25" s="8">
        <v>18</v>
      </c>
      <c r="C25" s="8" t="s">
        <v>32</v>
      </c>
      <c r="D25" s="9" t="str">
        <f t="shared" si="0"/>
        <v>resumen_montos_facturados_TD_AR_CDpRGL_2502pre.xlsx</v>
      </c>
      <c r="E25" s="8" t="s">
        <v>32</v>
      </c>
      <c r="F25" s="10">
        <v>784466</v>
      </c>
      <c r="G25" s="10">
        <v>4993205</v>
      </c>
      <c r="H25" s="10">
        <v>273368</v>
      </c>
      <c r="I25" s="10">
        <v>41834</v>
      </c>
      <c r="J25" s="10">
        <v>4282607.8362096921</v>
      </c>
      <c r="K25" s="11"/>
      <c r="L25" s="11"/>
      <c r="M25" s="12"/>
      <c r="N25" s="12"/>
    </row>
    <row r="26" spans="2:14" x14ac:dyDescent="0.2">
      <c r="B26" s="8">
        <v>19</v>
      </c>
      <c r="C26" s="8" t="s">
        <v>33</v>
      </c>
      <c r="D26" s="9" t="str">
        <f t="shared" si="0"/>
        <v>resumen_montos_facturados_TD_AR_CDpRGL_2502pre.xlsx</v>
      </c>
      <c r="E26" s="8" t="s">
        <v>33</v>
      </c>
      <c r="F26" s="10">
        <v>2279267</v>
      </c>
      <c r="G26" s="10">
        <v>2372370</v>
      </c>
      <c r="H26" s="10">
        <v>108079</v>
      </c>
      <c r="I26" s="10">
        <v>8368</v>
      </c>
      <c r="J26" s="10">
        <v>3320448.8352283039</v>
      </c>
      <c r="K26" s="11"/>
      <c r="L26" s="11"/>
      <c r="M26" s="12"/>
      <c r="N26" s="12"/>
    </row>
    <row r="27" spans="2:14" x14ac:dyDescent="0.2">
      <c r="B27" s="8">
        <v>20</v>
      </c>
      <c r="C27" s="8" t="s">
        <v>34</v>
      </c>
      <c r="D27" s="9" t="str">
        <f t="shared" si="0"/>
        <v>resumen_montos_facturados_TD_AR_CDpRGL_2502pre.xlsx</v>
      </c>
      <c r="E27" s="8" t="s">
        <v>34</v>
      </c>
      <c r="F27" s="10">
        <v>5547113</v>
      </c>
      <c r="G27" s="10">
        <v>8393589</v>
      </c>
      <c r="H27" s="10">
        <v>385170</v>
      </c>
      <c r="I27" s="10">
        <v>97962</v>
      </c>
      <c r="J27" s="10">
        <v>7724125.1202669507</v>
      </c>
      <c r="K27" s="11"/>
      <c r="L27" s="11"/>
      <c r="M27" s="12"/>
      <c r="N27" s="12"/>
    </row>
    <row r="28" spans="2:14" x14ac:dyDescent="0.2">
      <c r="B28" s="8">
        <v>21</v>
      </c>
      <c r="C28" s="8" t="s">
        <v>35</v>
      </c>
      <c r="D28" s="9" t="str">
        <f t="shared" si="0"/>
        <v>resumen_montos_facturados_TD_AR_CDpRGL_2502pre.xlsx</v>
      </c>
      <c r="E28" s="8" t="s">
        <v>35</v>
      </c>
      <c r="F28" s="10">
        <v>20343709.010000002</v>
      </c>
      <c r="G28" s="10">
        <v>59942717.369999997</v>
      </c>
      <c r="H28" s="10">
        <v>244851.97099999999</v>
      </c>
      <c r="I28" s="10">
        <v>182729</v>
      </c>
      <c r="J28" s="10">
        <v>42935252.623389609</v>
      </c>
      <c r="K28" s="11"/>
      <c r="L28" s="11"/>
      <c r="M28" s="12"/>
      <c r="N28" s="12"/>
    </row>
    <row r="29" spans="2:14" x14ac:dyDescent="0.2">
      <c r="B29" s="8">
        <v>22</v>
      </c>
      <c r="C29" s="8" t="s">
        <v>36</v>
      </c>
      <c r="D29" s="9" t="str">
        <f t="shared" si="0"/>
        <v>resumen_montos_facturados_TD_AR_CDpRGL_2502pre.xlsx</v>
      </c>
      <c r="E29" s="8" t="s">
        <v>36</v>
      </c>
      <c r="F29" s="10">
        <v>7232589.8899999997</v>
      </c>
      <c r="G29" s="10">
        <v>4284916.54</v>
      </c>
      <c r="H29" s="10">
        <v>221082.74</v>
      </c>
      <c r="I29" s="10">
        <v>24298</v>
      </c>
      <c r="J29" s="10">
        <v>8012284.4032089906</v>
      </c>
      <c r="K29" s="11"/>
      <c r="L29" s="11"/>
      <c r="M29" s="12"/>
      <c r="N29" s="12"/>
    </row>
    <row r="30" spans="2:14" x14ac:dyDescent="0.2">
      <c r="B30" s="8">
        <v>23</v>
      </c>
      <c r="C30" s="8" t="s">
        <v>37</v>
      </c>
      <c r="D30" s="9" t="str">
        <f t="shared" si="0"/>
        <v>resumen_montos_facturados_TD_AR_CDpRGL_2502pre.xlsx</v>
      </c>
      <c r="E30" s="8" t="s">
        <v>37</v>
      </c>
      <c r="F30" s="10">
        <v>37963452.560000002</v>
      </c>
      <c r="G30" s="10">
        <v>92895852.049999997</v>
      </c>
      <c r="H30" s="10">
        <v>274390.12</v>
      </c>
      <c r="I30" s="10">
        <v>269443.40000000002</v>
      </c>
      <c r="J30" s="10">
        <v>88868514.495348424</v>
      </c>
      <c r="K30" s="11"/>
      <c r="L30" s="11"/>
      <c r="M30" s="12"/>
      <c r="N30" s="12"/>
    </row>
    <row r="31" spans="2:14" x14ac:dyDescent="0.2">
      <c r="B31" s="8">
        <v>24</v>
      </c>
      <c r="C31" s="8" t="s">
        <v>38</v>
      </c>
      <c r="D31" s="9" t="str">
        <f t="shared" si="0"/>
        <v>resumen_montos_facturados_TD_AR_CDpRGL_2502pre.xlsx</v>
      </c>
      <c r="E31" s="8" t="s">
        <v>38</v>
      </c>
      <c r="F31" s="10">
        <v>2775139</v>
      </c>
      <c r="G31" s="10">
        <v>3228410</v>
      </c>
      <c r="H31" s="10">
        <v>34546</v>
      </c>
      <c r="I31" s="10">
        <v>15593</v>
      </c>
      <c r="J31" s="10">
        <v>3522007.484430992</v>
      </c>
      <c r="K31" s="11"/>
      <c r="L31" s="11"/>
      <c r="M31" s="12"/>
      <c r="N31" s="12"/>
    </row>
    <row r="32" spans="2:14" x14ac:dyDescent="0.2">
      <c r="B32" s="8">
        <v>25</v>
      </c>
      <c r="C32" s="8" t="s">
        <v>39</v>
      </c>
      <c r="D32" s="9" t="str">
        <f t="shared" si="0"/>
        <v>resumen_montos_facturados_TD_AR_CDpRGL_2502pre.xlsx</v>
      </c>
      <c r="E32" s="8" t="s">
        <v>39</v>
      </c>
      <c r="F32" s="10">
        <v>47169688.200000003</v>
      </c>
      <c r="G32" s="10">
        <v>129845747.15020999</v>
      </c>
      <c r="H32" s="10">
        <v>2333169.5</v>
      </c>
      <c r="I32" s="10">
        <v>871069.2</v>
      </c>
      <c r="J32" s="10">
        <v>-130019143.52617539</v>
      </c>
      <c r="K32" s="11"/>
      <c r="L32" s="11"/>
      <c r="M32" s="12"/>
      <c r="N32" s="12"/>
    </row>
    <row r="33" spans="2:14" x14ac:dyDescent="0.2">
      <c r="B33" s="8">
        <v>26</v>
      </c>
      <c r="C33" s="8" t="s">
        <v>40</v>
      </c>
      <c r="D33" s="9" t="str">
        <f t="shared" si="0"/>
        <v>resumen_montos_facturados_TD_AR_CDpRGL_2502pre.xlsx</v>
      </c>
      <c r="E33" s="8" t="s">
        <v>40</v>
      </c>
      <c r="F33" s="10">
        <v>2024167.1</v>
      </c>
      <c r="G33" s="10">
        <v>3180908.1</v>
      </c>
      <c r="H33" s="10">
        <v>43633</v>
      </c>
      <c r="I33" s="10">
        <v>103787.1</v>
      </c>
      <c r="J33" s="10">
        <v>3702077.6696197749</v>
      </c>
      <c r="K33" s="11"/>
      <c r="L33" s="11"/>
      <c r="M33" s="12"/>
      <c r="N33" s="12"/>
    </row>
    <row r="34" spans="2:14" x14ac:dyDescent="0.2">
      <c r="B34" s="8">
        <v>27</v>
      </c>
      <c r="C34" s="8" t="s">
        <v>41</v>
      </c>
      <c r="D34" s="9" t="str">
        <f t="shared" si="0"/>
        <v>resumen_montos_facturados_TD_AR_CDpRGL_2502pre.xlsx</v>
      </c>
      <c r="E34" s="8" t="s">
        <v>41</v>
      </c>
      <c r="F34" s="10">
        <v>1599535.9</v>
      </c>
      <c r="G34" s="10">
        <v>11659642.3651</v>
      </c>
      <c r="H34" s="10">
        <v>2846</v>
      </c>
      <c r="I34" s="10">
        <v>57695</v>
      </c>
      <c r="J34" s="10">
        <v>9552290.9826780874</v>
      </c>
      <c r="K34" s="11"/>
      <c r="L34" s="11"/>
      <c r="M34" s="12"/>
      <c r="N34" s="12"/>
    </row>
    <row r="35" spans="2:14" x14ac:dyDescent="0.2">
      <c r="B35" s="8">
        <v>28</v>
      </c>
      <c r="C35" s="8" t="s">
        <v>42</v>
      </c>
      <c r="D35" s="9" t="str">
        <f t="shared" si="0"/>
        <v>resumen_montos_facturados_TD_AR_CDpRGL_2502pre.xlsx</v>
      </c>
      <c r="E35" s="8" t="s">
        <v>42</v>
      </c>
      <c r="F35" s="10">
        <v>8000439.7999999998</v>
      </c>
      <c r="G35" s="10">
        <v>6815829.9396000002</v>
      </c>
      <c r="H35" s="10">
        <v>335599</v>
      </c>
      <c r="I35" s="10">
        <v>39272.500200000002</v>
      </c>
      <c r="J35" s="10">
        <v>8593708.415927425</v>
      </c>
      <c r="K35" s="11"/>
      <c r="L35" s="11"/>
      <c r="M35" s="12"/>
      <c r="N35" s="12"/>
    </row>
    <row r="36" spans="2:14" x14ac:dyDescent="0.2">
      <c r="B36" s="8">
        <v>29</v>
      </c>
      <c r="C36" s="8" t="s">
        <v>43</v>
      </c>
      <c r="D36" s="9" t="str">
        <f t="shared" si="0"/>
        <v>resumen_montos_facturados_TD_AR_CDpRGL_2502pre.xlsx</v>
      </c>
      <c r="E36" s="8" t="s">
        <v>43</v>
      </c>
      <c r="F36" s="10">
        <v>9889670.5999999996</v>
      </c>
      <c r="G36" s="10">
        <v>5446425.7867000001</v>
      </c>
      <c r="H36" s="10">
        <v>260291</v>
      </c>
      <c r="I36" s="10">
        <v>76425</v>
      </c>
      <c r="J36" s="10">
        <v>9512124.5335869323</v>
      </c>
      <c r="K36" s="11"/>
      <c r="L36" s="11"/>
      <c r="M36" s="12"/>
      <c r="N36" s="12"/>
    </row>
    <row r="37" spans="2:14" x14ac:dyDescent="0.2">
      <c r="B37" s="8">
        <v>30</v>
      </c>
      <c r="C37" s="8" t="s">
        <v>44</v>
      </c>
      <c r="D37" s="9" t="str">
        <f t="shared" si="0"/>
        <v>resumen_montos_facturados_TD_AR_CDpRGL_2502pre.xlsx</v>
      </c>
      <c r="E37" s="8" t="s">
        <v>45</v>
      </c>
      <c r="F37" s="10">
        <v>631486</v>
      </c>
      <c r="G37" s="10">
        <v>991478</v>
      </c>
      <c r="H37" s="10">
        <v>34425</v>
      </c>
      <c r="I37" s="10">
        <v>12094</v>
      </c>
      <c r="J37" s="10">
        <v>1124657.454135983</v>
      </c>
      <c r="K37" s="11"/>
      <c r="L37" s="11"/>
      <c r="M37" s="12"/>
      <c r="N37" s="12"/>
    </row>
    <row r="38" spans="2:14" x14ac:dyDescent="0.2">
      <c r="B38" s="8">
        <v>31</v>
      </c>
      <c r="C38" s="8" t="s">
        <v>46</v>
      </c>
      <c r="D38" s="9" t="str">
        <f t="shared" si="0"/>
        <v>resumen_montos_facturados_TD_AR_CDpRGL_2502pre.xlsx</v>
      </c>
      <c r="E38" s="8" t="s">
        <v>46</v>
      </c>
      <c r="F38" s="10">
        <v>3488306.997</v>
      </c>
      <c r="G38" s="10">
        <v>17890534.035999998</v>
      </c>
      <c r="H38" s="10">
        <v>6102</v>
      </c>
      <c r="I38" s="10">
        <v>25475.017</v>
      </c>
      <c r="J38" s="10">
        <v>14942658.802570021</v>
      </c>
      <c r="K38" s="11"/>
      <c r="L38" s="11"/>
      <c r="M38" s="12"/>
      <c r="N38" s="12"/>
    </row>
    <row r="39" spans="2:14" x14ac:dyDescent="0.2">
      <c r="B39" s="8">
        <v>32</v>
      </c>
      <c r="C39" s="8" t="s">
        <v>47</v>
      </c>
      <c r="D39" s="9" t="str">
        <f t="shared" si="0"/>
        <v>resumen_montos_facturados_TD_AR_CDpRGL_2502pre.xlsx</v>
      </c>
      <c r="E39" s="8" t="s">
        <v>47</v>
      </c>
      <c r="F39" s="10">
        <v>5923962.2429999998</v>
      </c>
      <c r="G39" s="10">
        <v>26188400.357999999</v>
      </c>
      <c r="H39" s="10">
        <v>15941.1</v>
      </c>
      <c r="I39" s="10">
        <v>14894.528</v>
      </c>
      <c r="J39" s="10">
        <v>20979249.41716193</v>
      </c>
      <c r="K39" s="11"/>
      <c r="L39" s="11"/>
      <c r="M39" s="12"/>
      <c r="N39" s="12"/>
    </row>
    <row r="40" spans="2:14" x14ac:dyDescent="0.2">
      <c r="B40" s="8">
        <v>33</v>
      </c>
      <c r="C40" s="8" t="s">
        <v>48</v>
      </c>
      <c r="D40" s="9" t="str">
        <f t="shared" si="0"/>
        <v>resumen_montos_facturados_TD_AR_CDpRGL_2502pre.xlsx</v>
      </c>
      <c r="E40" s="8" t="s">
        <v>48</v>
      </c>
      <c r="F40" s="10">
        <v>10363964.34</v>
      </c>
      <c r="G40" s="10">
        <v>48028105.623999998</v>
      </c>
      <c r="H40" s="10">
        <v>79292.58</v>
      </c>
      <c r="I40" s="10">
        <v>73327.173999999999</v>
      </c>
      <c r="J40" s="10">
        <v>-34499197.92462001</v>
      </c>
      <c r="K40" s="11"/>
      <c r="L40" s="11"/>
      <c r="M40" s="12"/>
      <c r="N40" s="12"/>
    </row>
    <row r="41" spans="2:14" x14ac:dyDescent="0.2">
      <c r="B41" s="8">
        <v>34</v>
      </c>
      <c r="C41" s="8" t="s">
        <v>49</v>
      </c>
      <c r="D41" s="9" t="str">
        <f t="shared" si="0"/>
        <v>resumen_montos_facturados_TD_AR_CDpRGL_2502pre.xlsx</v>
      </c>
      <c r="E41" s="8" t="s">
        <v>49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1"/>
      <c r="L41" s="11"/>
      <c r="M41" s="12"/>
      <c r="N41" s="12"/>
    </row>
    <row r="42" spans="2:14" x14ac:dyDescent="0.2">
      <c r="B42" s="8">
        <v>35</v>
      </c>
      <c r="C42" s="8" t="s">
        <v>50</v>
      </c>
      <c r="D42" s="9" t="str">
        <f t="shared" si="0"/>
        <v>resumen_montos_facturados_TD_AR_CDpRGL_2502pre.xlsx</v>
      </c>
      <c r="E42" s="8" t="s">
        <v>50</v>
      </c>
      <c r="F42" s="10">
        <v>0</v>
      </c>
      <c r="G42" s="10">
        <v>7680.2999999999993</v>
      </c>
      <c r="H42" s="10">
        <v>0</v>
      </c>
      <c r="I42" s="10">
        <v>0</v>
      </c>
      <c r="J42" s="10">
        <v>8115.4970568209992</v>
      </c>
      <c r="K42" s="11"/>
      <c r="L42" s="11"/>
      <c r="M42" s="12"/>
      <c r="N42" s="12"/>
    </row>
    <row r="43" spans="2:14" x14ac:dyDescent="0.2">
      <c r="B43" s="8">
        <v>36</v>
      </c>
      <c r="C43" s="8" t="s">
        <v>51</v>
      </c>
      <c r="D43" s="9" t="str">
        <f t="shared" si="0"/>
        <v>resumen_montos_facturados_TD_AR_CDpRGL_2502pre.xlsx</v>
      </c>
      <c r="E43" s="8" t="s">
        <v>51</v>
      </c>
      <c r="F43" s="10">
        <v>32785.800000000003</v>
      </c>
      <c r="G43" s="10">
        <v>63849.399999999987</v>
      </c>
      <c r="H43" s="10">
        <v>0</v>
      </c>
      <c r="I43" s="10">
        <v>0</v>
      </c>
      <c r="J43" s="10">
        <v>-2555848.662296616</v>
      </c>
      <c r="K43" s="11"/>
      <c r="L43" s="11"/>
      <c r="M43" s="12"/>
      <c r="N43" s="12"/>
    </row>
    <row r="44" spans="2:14" x14ac:dyDescent="0.2">
      <c r="B44" s="13" t="s">
        <v>52</v>
      </c>
      <c r="C44" s="14"/>
      <c r="D44" s="14"/>
      <c r="E44" s="15"/>
      <c r="F44" s="16">
        <f>SUM(F8:F43)</f>
        <v>550593057.95993447</v>
      </c>
      <c r="G44" s="16">
        <f>SUM(G8:G43)</f>
        <v>1696300991.8939722</v>
      </c>
      <c r="H44" s="16">
        <f>SUM(H8:H43)</f>
        <v>10893095.265000001</v>
      </c>
      <c r="I44" s="16">
        <f>SUM(I8:I43)</f>
        <v>2094804.5562</v>
      </c>
      <c r="J44" s="16">
        <f>SUM(J8:J43)</f>
        <v>276980609.72179216</v>
      </c>
      <c r="K44" s="11"/>
      <c r="L44" s="11"/>
      <c r="M44" s="12"/>
      <c r="N44" s="12"/>
    </row>
    <row r="45" spans="2:14" x14ac:dyDescent="0.2">
      <c r="M45" s="12"/>
      <c r="N45" s="12"/>
    </row>
    <row r="46" spans="2:14" x14ac:dyDescent="0.2">
      <c r="F46" s="18"/>
      <c r="G46" s="18"/>
      <c r="H46" s="18"/>
      <c r="I46" s="18"/>
      <c r="J46" s="18"/>
      <c r="N46" s="12"/>
    </row>
  </sheetData>
  <mergeCells count="6">
    <mergeCell ref="E2:F2"/>
    <mergeCell ref="B3:C3"/>
    <mergeCell ref="B6:B7"/>
    <mergeCell ref="C6:C7"/>
    <mergeCell ref="D6:D7"/>
    <mergeCell ref="E6:E7"/>
  </mergeCells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5306B-5063-4AF1-B7A3-30B7AE6452B6}">
  <sheetPr codeName="Hoja9">
    <tabColor theme="6" tint="0.59999389629810485"/>
  </sheetPr>
  <dimension ref="B2:R53"/>
  <sheetViews>
    <sheetView showGridLines="0" zoomScale="70" zoomScaleNormal="70" workbookViewId="0"/>
  </sheetViews>
  <sheetFormatPr baseColWidth="10" defaultColWidth="11.42578125" defaultRowHeight="12.75" x14ac:dyDescent="0.2"/>
  <cols>
    <col min="1" max="1" width="11.42578125" style="20"/>
    <col min="2" max="2" width="21" style="20" customWidth="1"/>
    <col min="3" max="3" width="14.28515625" style="20" bestFit="1" customWidth="1"/>
    <col min="4" max="4" width="15.42578125" style="20" bestFit="1" customWidth="1"/>
    <col min="5" max="5" width="13.5703125" style="20" customWidth="1"/>
    <col min="6" max="6" width="13.7109375" style="20" customWidth="1"/>
    <col min="7" max="7" width="11.5703125" style="20" bestFit="1" customWidth="1"/>
    <col min="8" max="8" width="13.42578125" style="20" bestFit="1" customWidth="1"/>
    <col min="9" max="9" width="16.140625" style="20" bestFit="1" customWidth="1"/>
    <col min="10" max="10" width="17.140625" style="20" customWidth="1"/>
    <col min="11" max="11" width="16.140625" style="20" customWidth="1"/>
    <col min="12" max="12" width="14.5703125" style="20" bestFit="1" customWidth="1"/>
    <col min="13" max="13" width="22.85546875" style="20" bestFit="1" customWidth="1"/>
    <col min="14" max="14" width="15.85546875" style="20" bestFit="1" customWidth="1"/>
    <col min="15" max="15" width="21.85546875" style="20" customWidth="1"/>
    <col min="16" max="16" width="11.5703125" style="20" bestFit="1" customWidth="1"/>
    <col min="17" max="17" width="14.42578125" style="20" customWidth="1"/>
    <col min="18" max="16384" width="11.42578125" style="20"/>
  </cols>
  <sheetData>
    <row r="2" spans="2:18" x14ac:dyDescent="0.2">
      <c r="B2" s="19" t="s">
        <v>56</v>
      </c>
      <c r="C2" s="19"/>
      <c r="D2" s="19"/>
    </row>
    <row r="3" spans="2:18" x14ac:dyDescent="0.2">
      <c r="B3" s="21">
        <f>FechaFacturacion</f>
        <v>45689</v>
      </c>
      <c r="C3" s="22"/>
      <c r="D3" s="22"/>
      <c r="I3" s="23" t="s">
        <v>57</v>
      </c>
      <c r="J3" s="24"/>
      <c r="K3" s="24"/>
    </row>
    <row r="4" spans="2:18" x14ac:dyDescent="0.2">
      <c r="B4" s="25"/>
      <c r="D4" s="22"/>
      <c r="I4" s="26">
        <v>3.9347948285552992E-3</v>
      </c>
      <c r="J4" s="27"/>
      <c r="K4" s="27"/>
      <c r="L4" s="28"/>
    </row>
    <row r="6" spans="2:18" ht="12.75" customHeight="1" x14ac:dyDescent="0.2">
      <c r="B6" s="29" t="s">
        <v>6</v>
      </c>
      <c r="C6" s="29" t="s">
        <v>7</v>
      </c>
      <c r="D6" s="29" t="s">
        <v>8</v>
      </c>
      <c r="E6" s="29" t="s">
        <v>9</v>
      </c>
      <c r="F6" s="29" t="s">
        <v>10</v>
      </c>
      <c r="G6" s="29" t="s">
        <v>53</v>
      </c>
      <c r="H6" s="29" t="str">
        <f>"Saldo "&amp;TEXT(B3-1,"mmmmmmmmmm")</f>
        <v>Saldo enero</v>
      </c>
      <c r="I6" s="29" t="s">
        <v>58</v>
      </c>
      <c r="J6" s="29" t="s">
        <v>59</v>
      </c>
      <c r="K6" s="29" t="s">
        <v>60</v>
      </c>
      <c r="L6" s="30" t="s">
        <v>61</v>
      </c>
      <c r="M6" s="29" t="s">
        <v>62</v>
      </c>
      <c r="N6" s="31" t="s">
        <v>63</v>
      </c>
      <c r="O6" s="29" t="s">
        <v>64</v>
      </c>
      <c r="P6" s="29" t="s">
        <v>65</v>
      </c>
      <c r="R6" s="32"/>
    </row>
    <row r="7" spans="2:18" ht="12.75" customHeight="1" x14ac:dyDescent="0.2">
      <c r="B7" s="33"/>
      <c r="C7" s="34"/>
      <c r="D7" s="34"/>
      <c r="E7" s="34"/>
      <c r="F7" s="34"/>
      <c r="G7" s="34"/>
      <c r="H7" s="35"/>
      <c r="I7" s="34"/>
      <c r="J7" s="34"/>
      <c r="K7" s="34"/>
      <c r="L7" s="30"/>
      <c r="M7" s="34"/>
      <c r="N7" s="36"/>
      <c r="O7" s="34"/>
      <c r="P7" s="34"/>
    </row>
    <row r="8" spans="2:18" ht="13.5" customHeight="1" x14ac:dyDescent="0.2">
      <c r="B8" s="33"/>
      <c r="C8" s="37" t="s">
        <v>12</v>
      </c>
      <c r="D8" s="37" t="s">
        <v>12</v>
      </c>
      <c r="E8" s="37" t="s">
        <v>12</v>
      </c>
      <c r="F8" s="37" t="s">
        <v>12</v>
      </c>
      <c r="G8" s="37" t="s">
        <v>13</v>
      </c>
      <c r="H8" s="37" t="s">
        <v>13</v>
      </c>
      <c r="I8" s="37" t="s">
        <v>13</v>
      </c>
      <c r="J8" s="37"/>
      <c r="K8" s="37"/>
      <c r="L8" s="37" t="s">
        <v>13</v>
      </c>
      <c r="M8" s="37" t="s">
        <v>13</v>
      </c>
      <c r="N8" s="38" t="s">
        <v>13</v>
      </c>
      <c r="O8" s="39" t="s">
        <v>13</v>
      </c>
      <c r="P8" s="39" t="s">
        <v>13</v>
      </c>
    </row>
    <row r="9" spans="2:18" x14ac:dyDescent="0.2">
      <c r="B9" s="40" t="s">
        <v>14</v>
      </c>
      <c r="C9" s="41">
        <f>SUMIF('Entrada TD'!$E$8:$E$43,'Reliquidación TD'!$B9,'Entrada TD'!F$8:F$43)</f>
        <v>5858488</v>
      </c>
      <c r="D9" s="41">
        <f>SUMIF('Entrada TD'!$E$8:$E$43,'Reliquidación TD'!$B9,'Entrada TD'!G$8:G$43)</f>
        <v>3604124</v>
      </c>
      <c r="E9" s="41">
        <f>SUMIF('Entrada TD'!$E$8:$E$43,'Reliquidación TD'!$B9,'Entrada TD'!H$8:H$43)</f>
        <v>182555</v>
      </c>
      <c r="F9" s="41">
        <f>SUMIF('Entrada TD'!$E$8:$E$43,'Reliquidación TD'!$B9,'Entrada TD'!I$8:I$43)</f>
        <v>50278</v>
      </c>
      <c r="G9" s="41">
        <f>SUMIF('Entrada TD'!$E$8:$E$43,'Reliquidación TD'!$B9,'Entrada TD'!J$8:J$43)</f>
        <v>0</v>
      </c>
      <c r="H9" s="41">
        <v>0</v>
      </c>
      <c r="I9" s="41">
        <f t="shared" ref="I9:I43" si="0">H9*($I$4+1)</f>
        <v>0</v>
      </c>
      <c r="J9" s="41">
        <v>0</v>
      </c>
      <c r="K9" s="41">
        <f>+J9*($I$4+1)</f>
        <v>0</v>
      </c>
      <c r="L9" s="41">
        <f>+G9+K9</f>
        <v>0</v>
      </c>
      <c r="M9" s="41">
        <f>IF(L9&lt;0,-L9,0)</f>
        <v>0</v>
      </c>
      <c r="N9" s="41">
        <f>IF(L9&gt;0,L9,0)</f>
        <v>0</v>
      </c>
      <c r="O9" s="41">
        <f t="shared" ref="O9:O43" si="1">IF(OR($M$44=0,$N$44=0),0,(M9/$M$44-N9/$N$44)*$N$49)</f>
        <v>0</v>
      </c>
      <c r="P9" s="41">
        <f t="shared" ref="P9:P43" si="2">L9+O9</f>
        <v>0</v>
      </c>
    </row>
    <row r="10" spans="2:18" x14ac:dyDescent="0.2">
      <c r="B10" s="42" t="s">
        <v>15</v>
      </c>
      <c r="C10" s="43">
        <f>SUMIF('Entrada TD'!$E$8:$E$43,'Reliquidación TD'!$B10,'Entrada TD'!F$8:F$43)</f>
        <v>1351299</v>
      </c>
      <c r="D10" s="43">
        <f>SUMIF('Entrada TD'!$E$8:$E$43,'Reliquidación TD'!$B10,'Entrada TD'!G$8:G$43)</f>
        <v>4568128</v>
      </c>
      <c r="E10" s="43">
        <f>SUMIF('Entrada TD'!$E$8:$E$43,'Reliquidación TD'!$B10,'Entrada TD'!H$8:H$43)</f>
        <v>2684</v>
      </c>
      <c r="F10" s="43">
        <f>SUMIF('Entrada TD'!$E$8:$E$43,'Reliquidación TD'!$B10,'Entrada TD'!I$8:I$43)</f>
        <v>40256</v>
      </c>
      <c r="G10" s="43">
        <f>SUMIF('Entrada TD'!$E$8:$E$43,'Reliquidación TD'!$B10,'Entrada TD'!J$8:J$43)</f>
        <v>0</v>
      </c>
      <c r="H10" s="43">
        <v>0</v>
      </c>
      <c r="I10" s="43">
        <f t="shared" si="0"/>
        <v>0</v>
      </c>
      <c r="J10" s="43">
        <v>0</v>
      </c>
      <c r="K10" s="43">
        <f t="shared" ref="K10:K43" si="3">+J10*($I$4+1)</f>
        <v>0</v>
      </c>
      <c r="L10" s="43">
        <f t="shared" ref="L10:L43" si="4">+G10+K10</f>
        <v>0</v>
      </c>
      <c r="M10" s="43">
        <f t="shared" ref="M10:M43" si="5">IF(L10&lt;0,-L10,0)</f>
        <v>0</v>
      </c>
      <c r="N10" s="43">
        <f t="shared" ref="N10:N43" si="6">IF(L10&gt;0,L10,0)</f>
        <v>0</v>
      </c>
      <c r="O10" s="43">
        <f t="shared" si="1"/>
        <v>0</v>
      </c>
      <c r="P10" s="43">
        <f t="shared" si="2"/>
        <v>0</v>
      </c>
    </row>
    <row r="11" spans="2:18" x14ac:dyDescent="0.2">
      <c r="B11" s="42" t="s">
        <v>16</v>
      </c>
      <c r="C11" s="43">
        <f>SUMIF('Entrada TD'!$E$8:$E$43,'Reliquidación TD'!$B11,'Entrada TD'!F$8:F$43)</f>
        <v>3609797</v>
      </c>
      <c r="D11" s="43">
        <f>SUMIF('Entrada TD'!$E$8:$E$43,'Reliquidación TD'!$B11,'Entrada TD'!G$8:G$43)</f>
        <v>13736630.449999999</v>
      </c>
      <c r="E11" s="43">
        <f>SUMIF('Entrada TD'!$E$8:$E$43,'Reliquidación TD'!$B11,'Entrada TD'!H$8:H$43)</f>
        <v>0</v>
      </c>
      <c r="F11" s="43">
        <f>SUMIF('Entrada TD'!$E$8:$E$43,'Reliquidación TD'!$B11,'Entrada TD'!I$8:I$43)</f>
        <v>32662</v>
      </c>
      <c r="G11" s="43">
        <f>SUMIF('Entrada TD'!$E$8:$E$43,'Reliquidación TD'!$B11,'Entrada TD'!J$8:J$43)</f>
        <v>0</v>
      </c>
      <c r="H11" s="43">
        <v>0</v>
      </c>
      <c r="I11" s="43">
        <f t="shared" si="0"/>
        <v>0</v>
      </c>
      <c r="J11" s="43">
        <v>0</v>
      </c>
      <c r="K11" s="43">
        <f t="shared" si="3"/>
        <v>0</v>
      </c>
      <c r="L11" s="43">
        <f t="shared" si="4"/>
        <v>0</v>
      </c>
      <c r="M11" s="43">
        <f t="shared" si="5"/>
        <v>0</v>
      </c>
      <c r="N11" s="43">
        <f t="shared" si="6"/>
        <v>0</v>
      </c>
      <c r="O11" s="43">
        <f t="shared" si="1"/>
        <v>0</v>
      </c>
      <c r="P11" s="43">
        <f t="shared" si="2"/>
        <v>0</v>
      </c>
    </row>
    <row r="12" spans="2:18" x14ac:dyDescent="0.2">
      <c r="B12" s="42" t="s">
        <v>17</v>
      </c>
      <c r="C12" s="43">
        <f>SUMIF('Entrada TD'!$E$8:$E$43,'Reliquidación TD'!$B12,'Entrada TD'!F$8:F$43)</f>
        <v>497568</v>
      </c>
      <c r="D12" s="43">
        <f>SUMIF('Entrada TD'!$E$8:$E$43,'Reliquidación TD'!$B12,'Entrada TD'!G$8:G$43)</f>
        <v>1473676</v>
      </c>
      <c r="E12" s="43">
        <f>SUMIF('Entrada TD'!$E$8:$E$43,'Reliquidación TD'!$B12,'Entrada TD'!H$8:H$43)</f>
        <v>0</v>
      </c>
      <c r="F12" s="43">
        <f>SUMIF('Entrada TD'!$E$8:$E$43,'Reliquidación TD'!$B12,'Entrada TD'!I$8:I$43)</f>
        <v>0</v>
      </c>
      <c r="G12" s="43">
        <f>SUMIF('Entrada TD'!$E$8:$E$43,'Reliquidación TD'!$B12,'Entrada TD'!J$8:J$43)</f>
        <v>0</v>
      </c>
      <c r="H12" s="43">
        <v>0</v>
      </c>
      <c r="I12" s="43">
        <f t="shared" si="0"/>
        <v>0</v>
      </c>
      <c r="J12" s="43">
        <v>0</v>
      </c>
      <c r="K12" s="43">
        <f t="shared" si="3"/>
        <v>0</v>
      </c>
      <c r="L12" s="43">
        <f t="shared" si="4"/>
        <v>0</v>
      </c>
      <c r="M12" s="43">
        <f t="shared" si="5"/>
        <v>0</v>
      </c>
      <c r="N12" s="43">
        <f t="shared" si="6"/>
        <v>0</v>
      </c>
      <c r="O12" s="43">
        <f t="shared" si="1"/>
        <v>0</v>
      </c>
      <c r="P12" s="43">
        <f t="shared" si="2"/>
        <v>0</v>
      </c>
    </row>
    <row r="13" spans="2:18" x14ac:dyDescent="0.2">
      <c r="B13" s="42" t="s">
        <v>18</v>
      </c>
      <c r="C13" s="43">
        <f>SUMIF('Entrada TD'!$E$8:$E$43,'Reliquidación TD'!$B13,'Entrada TD'!F$8:F$43)</f>
        <v>179075049.39700001</v>
      </c>
      <c r="D13" s="43">
        <f>SUMIF('Entrada TD'!$E$8:$E$43,'Reliquidación TD'!$B13,'Entrada TD'!G$8:G$43)</f>
        <v>449687404.71100003</v>
      </c>
      <c r="E13" s="43">
        <f>SUMIF('Entrada TD'!$E$8:$E$43,'Reliquidación TD'!$B13,'Entrada TD'!H$8:H$43)</f>
        <v>2809205.594</v>
      </c>
      <c r="F13" s="43">
        <f>SUMIF('Entrada TD'!$E$8:$E$43,'Reliquidación TD'!$B13,'Entrada TD'!I$8:I$43)</f>
        <v>-2192337.3640000001</v>
      </c>
      <c r="G13" s="43">
        <f>SUMIF('Entrada TD'!$E$8:$E$43,'Reliquidación TD'!$B13,'Entrada TD'!J$8:J$43)</f>
        <v>808942.72958861676</v>
      </c>
      <c r="H13" s="43">
        <v>0</v>
      </c>
      <c r="I13" s="43">
        <f t="shared" si="0"/>
        <v>0</v>
      </c>
      <c r="J13" s="43">
        <v>0</v>
      </c>
      <c r="K13" s="43">
        <f t="shared" si="3"/>
        <v>0</v>
      </c>
      <c r="L13" s="43">
        <f t="shared" si="4"/>
        <v>808942.72958861676</v>
      </c>
      <c r="M13" s="43">
        <f t="shared" si="5"/>
        <v>0</v>
      </c>
      <c r="N13" s="43">
        <f t="shared" si="6"/>
        <v>808942.72958861676</v>
      </c>
      <c r="O13" s="43">
        <f t="shared" si="1"/>
        <v>-10849.653143003979</v>
      </c>
      <c r="P13" s="43">
        <f t="shared" si="2"/>
        <v>798093.07644561282</v>
      </c>
    </row>
    <row r="14" spans="2:18" x14ac:dyDescent="0.2">
      <c r="B14" s="42" t="s">
        <v>20</v>
      </c>
      <c r="C14" s="43">
        <f>SUMIF('Entrada TD'!$E$8:$E$43,'Reliquidación TD'!$B14,'Entrada TD'!F$8:F$43)</f>
        <v>73958.002999999997</v>
      </c>
      <c r="D14" s="43">
        <f>SUMIF('Entrada TD'!$E$8:$E$43,'Reliquidación TD'!$B14,'Entrada TD'!G$8:G$43)</f>
        <v>1001024.439</v>
      </c>
      <c r="E14" s="43">
        <f>SUMIF('Entrada TD'!$E$8:$E$43,'Reliquidación TD'!$B14,'Entrada TD'!H$8:H$43)</f>
        <v>0</v>
      </c>
      <c r="F14" s="43">
        <f>SUMIF('Entrada TD'!$E$8:$E$43,'Reliquidación TD'!$B14,'Entrada TD'!I$8:I$43)</f>
        <v>0</v>
      </c>
      <c r="G14" s="43">
        <f>SUMIF('Entrada TD'!$E$8:$E$43,'Reliquidación TD'!$B14,'Entrada TD'!J$8:J$43)</f>
        <v>0</v>
      </c>
      <c r="H14" s="43">
        <v>0</v>
      </c>
      <c r="I14" s="43">
        <f>H14*($I$4+1)</f>
        <v>0</v>
      </c>
      <c r="J14" s="43">
        <v>0</v>
      </c>
      <c r="K14" s="43">
        <f t="shared" si="3"/>
        <v>0</v>
      </c>
      <c r="L14" s="43">
        <f t="shared" si="4"/>
        <v>0</v>
      </c>
      <c r="M14" s="43">
        <f t="shared" si="5"/>
        <v>0</v>
      </c>
      <c r="N14" s="43">
        <f t="shared" si="6"/>
        <v>0</v>
      </c>
      <c r="O14" s="43">
        <f t="shared" si="1"/>
        <v>0</v>
      </c>
      <c r="P14" s="43">
        <f t="shared" si="2"/>
        <v>0</v>
      </c>
    </row>
    <row r="15" spans="2:18" x14ac:dyDescent="0.2">
      <c r="B15" s="42" t="s">
        <v>21</v>
      </c>
      <c r="C15" s="43">
        <f>SUMIF('Entrada TD'!$E$8:$E$43,'Reliquidación TD'!$B15,'Entrada TD'!F$8:F$43)</f>
        <v>12259688.81893453</v>
      </c>
      <c r="D15" s="43">
        <f>SUMIF('Entrada TD'!$E$8:$E$43,'Reliquidación TD'!$B15,'Entrada TD'!G$8:G$43)</f>
        <v>19502529.916000001</v>
      </c>
      <c r="E15" s="43">
        <f>SUMIF('Entrada TD'!$E$8:$E$43,'Reliquidación TD'!$B15,'Entrada TD'!H$8:H$43)</f>
        <v>296192.02</v>
      </c>
      <c r="F15" s="43">
        <f>SUMIF('Entrada TD'!$E$8:$E$43,'Reliquidación TD'!$B15,'Entrada TD'!I$8:I$43)</f>
        <v>56319.735999999997</v>
      </c>
      <c r="G15" s="43">
        <f>SUMIF('Entrada TD'!$E$8:$E$43,'Reliquidación TD'!$B15,'Entrada TD'!J$8:J$43)</f>
        <v>8370.8711941468137</v>
      </c>
      <c r="H15" s="43">
        <v>0</v>
      </c>
      <c r="I15" s="43">
        <f t="shared" si="0"/>
        <v>0</v>
      </c>
      <c r="J15" s="43">
        <v>0</v>
      </c>
      <c r="K15" s="43">
        <f t="shared" si="3"/>
        <v>0</v>
      </c>
      <c r="L15" s="43">
        <f t="shared" si="4"/>
        <v>8370.8711941468137</v>
      </c>
      <c r="M15" s="43">
        <f t="shared" si="5"/>
        <v>0</v>
      </c>
      <c r="N15" s="43">
        <f t="shared" si="6"/>
        <v>8370.8711941468137</v>
      </c>
      <c r="O15" s="43">
        <f t="shared" si="1"/>
        <v>-112.27129639627638</v>
      </c>
      <c r="P15" s="43">
        <f t="shared" si="2"/>
        <v>8258.5998977505369</v>
      </c>
    </row>
    <row r="16" spans="2:18" x14ac:dyDescent="0.2">
      <c r="B16" s="42" t="s">
        <v>22</v>
      </c>
      <c r="C16" s="43">
        <f>SUMIF('Entrada TD'!$E$8:$E$43,'Reliquidación TD'!$B16,'Entrada TD'!F$8:F$43)</f>
        <v>0</v>
      </c>
      <c r="D16" s="43">
        <f>SUMIF('Entrada TD'!$E$8:$E$43,'Reliquidación TD'!$B16,'Entrada TD'!G$8:G$43)</f>
        <v>0</v>
      </c>
      <c r="E16" s="43">
        <f>SUMIF('Entrada TD'!$E$8:$E$43,'Reliquidación TD'!$B16,'Entrada TD'!H$8:H$43)</f>
        <v>0</v>
      </c>
      <c r="F16" s="43">
        <f>SUMIF('Entrada TD'!$E$8:$E$43,'Reliquidación TD'!$B16,'Entrada TD'!I$8:I$43)</f>
        <v>0</v>
      </c>
      <c r="G16" s="43">
        <f>SUMIF('Entrada TD'!$E$8:$E$43,'Reliquidación TD'!$B16,'Entrada TD'!J$8:J$43)</f>
        <v>0</v>
      </c>
      <c r="H16" s="43">
        <v>0</v>
      </c>
      <c r="I16" s="43">
        <f t="shared" si="0"/>
        <v>0</v>
      </c>
      <c r="J16" s="43">
        <v>0</v>
      </c>
      <c r="K16" s="43">
        <f t="shared" si="3"/>
        <v>0</v>
      </c>
      <c r="L16" s="43">
        <f t="shared" si="4"/>
        <v>0</v>
      </c>
      <c r="M16" s="43">
        <f t="shared" si="5"/>
        <v>0</v>
      </c>
      <c r="N16" s="43">
        <f t="shared" si="6"/>
        <v>0</v>
      </c>
      <c r="O16" s="43">
        <f t="shared" si="1"/>
        <v>0</v>
      </c>
      <c r="P16" s="43">
        <f t="shared" si="2"/>
        <v>0</v>
      </c>
    </row>
    <row r="17" spans="2:16" x14ac:dyDescent="0.2">
      <c r="B17" s="42" t="s">
        <v>23</v>
      </c>
      <c r="C17" s="43">
        <f>SUMIF('Entrada TD'!$E$8:$E$43,'Reliquidación TD'!$B17,'Entrada TD'!F$8:F$43)</f>
        <v>0</v>
      </c>
      <c r="D17" s="43">
        <f>SUMIF('Entrada TD'!$E$8:$E$43,'Reliquidación TD'!$B17,'Entrada TD'!G$8:G$43)</f>
        <v>0</v>
      </c>
      <c r="E17" s="43">
        <f>SUMIF('Entrada TD'!$E$8:$E$43,'Reliquidación TD'!$B17,'Entrada TD'!H$8:H$43)</f>
        <v>0</v>
      </c>
      <c r="F17" s="43">
        <f>SUMIF('Entrada TD'!$E$8:$E$43,'Reliquidación TD'!$B17,'Entrada TD'!I$8:I$43)</f>
        <v>0</v>
      </c>
      <c r="G17" s="43">
        <f>SUMIF('Entrada TD'!$E$8:$E$43,'Reliquidación TD'!$B17,'Entrada TD'!J$8:J$43)</f>
        <v>0</v>
      </c>
      <c r="H17" s="43">
        <v>0</v>
      </c>
      <c r="I17" s="43">
        <f t="shared" si="0"/>
        <v>0</v>
      </c>
      <c r="J17" s="43">
        <v>0</v>
      </c>
      <c r="K17" s="43">
        <f t="shared" si="3"/>
        <v>0</v>
      </c>
      <c r="L17" s="43">
        <f t="shared" si="4"/>
        <v>0</v>
      </c>
      <c r="M17" s="43">
        <f t="shared" si="5"/>
        <v>0</v>
      </c>
      <c r="N17" s="43">
        <f t="shared" si="6"/>
        <v>0</v>
      </c>
      <c r="O17" s="43">
        <f t="shared" si="1"/>
        <v>0</v>
      </c>
      <c r="P17" s="43">
        <f t="shared" si="2"/>
        <v>0</v>
      </c>
    </row>
    <row r="18" spans="2:16" x14ac:dyDescent="0.2">
      <c r="B18" s="42" t="s">
        <v>24</v>
      </c>
      <c r="C18" s="43">
        <f>SUMIF('Entrada TD'!$E$8:$E$43,'Reliquidación TD'!$B18,'Entrada TD'!F$8:F$43)+SUMIF('Entrada TD'!$E$8:$E$43,"LUZ ANDES",'Entrada TD'!F$8:F$43)</f>
        <v>126683080.45100001</v>
      </c>
      <c r="D18" s="43">
        <f>SUMIF('Entrada TD'!$E$8:$E$43,'Reliquidación TD'!$B18,'Entrada TD'!G$8:G$43)+SUMIF('Entrada TD'!$E$8:$E$43,"LUZ ANDES",'Entrada TD'!G$8:G$43)</f>
        <v>653485642.92536199</v>
      </c>
      <c r="E18" s="43">
        <f>SUMIF('Entrada TD'!$E$8:$E$43,'Reliquidación TD'!$B18,'Entrada TD'!H$8:H$43)+SUMIF('Entrada TD'!$E$8:$E$43,"LUZ ANDES",'Entrada TD'!H$8:H$43)</f>
        <v>1363727.5</v>
      </c>
      <c r="F18" s="43">
        <f>SUMIF('Entrada TD'!$E$8:$E$43,'Reliquidación TD'!$B18,'Entrada TD'!I$8:I$43)+SUMIF('Entrada TD'!$E$8:$E$43,"LUZ ANDES",'Entrada TD'!I$8:I$43)</f>
        <v>1685071.2050000001</v>
      </c>
      <c r="G18" s="43">
        <f>SUMIF('Entrada TD'!$E$8:$E$43,'Reliquidación TD'!$B18,'Entrada TD'!J$8:J$43)+SUMIF('Entrada TD'!$E$8:$E$43,"LUZ ANDES",'Entrada TD'!J$8:J$43)</f>
        <v>3694226.4659392522</v>
      </c>
      <c r="H18" s="43">
        <v>0</v>
      </c>
      <c r="I18" s="43">
        <f t="shared" si="0"/>
        <v>0</v>
      </c>
      <c r="J18" s="43">
        <v>0</v>
      </c>
      <c r="K18" s="43">
        <f t="shared" si="3"/>
        <v>0</v>
      </c>
      <c r="L18" s="43">
        <f t="shared" si="4"/>
        <v>3694226.4659392522</v>
      </c>
      <c r="M18" s="43">
        <f t="shared" si="5"/>
        <v>0</v>
      </c>
      <c r="N18" s="43">
        <f t="shared" si="6"/>
        <v>3694226.4659392522</v>
      </c>
      <c r="O18" s="43">
        <f t="shared" si="1"/>
        <v>-49547.482561008117</v>
      </c>
      <c r="P18" s="43">
        <f t="shared" si="2"/>
        <v>3644678.9833782441</v>
      </c>
    </row>
    <row r="19" spans="2:16" x14ac:dyDescent="0.2">
      <c r="B19" s="42" t="s">
        <v>26</v>
      </c>
      <c r="C19" s="43">
        <f>SUMIF('Entrada TD'!$E$8:$E$43,'Reliquidación TD'!$B19,'Entrada TD'!F$8:F$43)</f>
        <v>37453496.123000003</v>
      </c>
      <c r="D19" s="43">
        <f>SUMIF('Entrada TD'!$E$8:$E$43,'Reliquidación TD'!$B19,'Entrada TD'!G$8:G$43)</f>
        <v>71144273.245000005</v>
      </c>
      <c r="E19" s="43">
        <f>SUMIF('Entrada TD'!$E$8:$E$43,'Reliquidación TD'!$B19,'Entrada TD'!H$8:H$43)</f>
        <v>780328.14</v>
      </c>
      <c r="F19" s="43">
        <f>SUMIF('Entrada TD'!$E$8:$E$43,'Reliquidación TD'!$B19,'Entrada TD'!I$8:I$43)</f>
        <v>210386.84599999999</v>
      </c>
      <c r="G19" s="43">
        <f>SUMIF('Entrada TD'!$E$8:$E$43,'Reliquidación TD'!$B19,'Entrada TD'!J$8:J$43)</f>
        <v>-13262.69136286609</v>
      </c>
      <c r="H19" s="43">
        <v>0</v>
      </c>
      <c r="I19" s="43">
        <f t="shared" si="0"/>
        <v>0</v>
      </c>
      <c r="J19" s="43">
        <v>0</v>
      </c>
      <c r="K19" s="43">
        <f t="shared" si="3"/>
        <v>0</v>
      </c>
      <c r="L19" s="43">
        <f t="shared" si="4"/>
        <v>-13262.69136286609</v>
      </c>
      <c r="M19" s="43">
        <f t="shared" si="5"/>
        <v>13262.69136286609</v>
      </c>
      <c r="N19" s="43">
        <f t="shared" si="6"/>
        <v>0</v>
      </c>
      <c r="O19" s="43">
        <f t="shared" si="1"/>
        <v>13262.69136286609</v>
      </c>
      <c r="P19" s="43">
        <f t="shared" si="2"/>
        <v>0</v>
      </c>
    </row>
    <row r="20" spans="2:16" x14ac:dyDescent="0.2">
      <c r="B20" s="42" t="s">
        <v>27</v>
      </c>
      <c r="C20" s="43">
        <f>SUMIF('Entrada TD'!$E$8:$E$43,'Reliquidación TD'!$B20,'Entrada TD'!F$8:F$43)</f>
        <v>2055527.727</v>
      </c>
      <c r="D20" s="43">
        <f>SUMIF('Entrada TD'!$E$8:$E$43,'Reliquidación TD'!$B20,'Entrada TD'!G$8:G$43)</f>
        <v>17009823.287999999</v>
      </c>
      <c r="E20" s="43">
        <f>SUMIF('Entrada TD'!$E$8:$E$43,'Reliquidación TD'!$B20,'Entrada TD'!H$8:H$43)</f>
        <v>0</v>
      </c>
      <c r="F20" s="43">
        <f>SUMIF('Entrada TD'!$E$8:$E$43,'Reliquidación TD'!$B20,'Entrada TD'!I$8:I$43)</f>
        <v>27099.214</v>
      </c>
      <c r="G20" s="43">
        <f>SUMIF('Entrada TD'!$E$8:$E$43,'Reliquidación TD'!$B20,'Entrada TD'!J$8:J$43)</f>
        <v>-11241.425816785089</v>
      </c>
      <c r="H20" s="43">
        <v>0</v>
      </c>
      <c r="I20" s="43">
        <f t="shared" si="0"/>
        <v>0</v>
      </c>
      <c r="J20" s="43">
        <v>0</v>
      </c>
      <c r="K20" s="43">
        <f t="shared" si="3"/>
        <v>0</v>
      </c>
      <c r="L20" s="43">
        <f t="shared" si="4"/>
        <v>-11241.425816785089</v>
      </c>
      <c r="M20" s="43">
        <f t="shared" si="5"/>
        <v>11241.425816785089</v>
      </c>
      <c r="N20" s="43">
        <f t="shared" si="6"/>
        <v>0</v>
      </c>
      <c r="O20" s="43">
        <f t="shared" si="1"/>
        <v>11241.425816785089</v>
      </c>
      <c r="P20" s="43">
        <f t="shared" si="2"/>
        <v>0</v>
      </c>
    </row>
    <row r="21" spans="2:16" x14ac:dyDescent="0.2">
      <c r="B21" s="42" t="s">
        <v>28</v>
      </c>
      <c r="C21" s="43">
        <f>SUMIF('Entrada TD'!$E$8:$E$43,'Reliquidación TD'!$B21,'Entrada TD'!F$8:F$43)</f>
        <v>0</v>
      </c>
      <c r="D21" s="43">
        <f>SUMIF('Entrada TD'!$E$8:$E$43,'Reliquidación TD'!$B21,'Entrada TD'!G$8:G$43)</f>
        <v>0</v>
      </c>
      <c r="E21" s="43">
        <f>SUMIF('Entrada TD'!$E$8:$E$43,'Reliquidación TD'!$B21,'Entrada TD'!H$8:H$43)</f>
        <v>0</v>
      </c>
      <c r="F21" s="43">
        <f>SUMIF('Entrada TD'!$E$8:$E$43,'Reliquidación TD'!$B21,'Entrada TD'!I$8:I$43)</f>
        <v>0</v>
      </c>
      <c r="G21" s="43">
        <f>SUMIF('Entrada TD'!$E$8:$E$43,'Reliquidación TD'!$B21,'Entrada TD'!J$8:J$43)</f>
        <v>0</v>
      </c>
      <c r="H21" s="43">
        <v>0</v>
      </c>
      <c r="I21" s="43">
        <f t="shared" si="0"/>
        <v>0</v>
      </c>
      <c r="J21" s="43">
        <v>0</v>
      </c>
      <c r="K21" s="43">
        <f t="shared" si="3"/>
        <v>0</v>
      </c>
      <c r="L21" s="43">
        <f t="shared" si="4"/>
        <v>0</v>
      </c>
      <c r="M21" s="43">
        <f t="shared" si="5"/>
        <v>0</v>
      </c>
      <c r="N21" s="43">
        <f t="shared" si="6"/>
        <v>0</v>
      </c>
      <c r="O21" s="43">
        <f t="shared" si="1"/>
        <v>0</v>
      </c>
      <c r="P21" s="43">
        <f t="shared" si="2"/>
        <v>0</v>
      </c>
    </row>
    <row r="22" spans="2:16" x14ac:dyDescent="0.2">
      <c r="B22" s="42" t="s">
        <v>29</v>
      </c>
      <c r="C22" s="43">
        <f>SUMIF('Entrada TD'!$E$8:$E$43,'Reliquidación TD'!$B22,'Entrada TD'!F$8:F$43)</f>
        <v>1387239</v>
      </c>
      <c r="D22" s="43">
        <f>SUMIF('Entrada TD'!$E$8:$E$43,'Reliquidación TD'!$B22,'Entrada TD'!G$8:G$43)</f>
        <v>7103391.9000000004</v>
      </c>
      <c r="E22" s="43">
        <f>SUMIF('Entrada TD'!$E$8:$E$43,'Reliquidación TD'!$B22,'Entrada TD'!H$8:H$43)</f>
        <v>378</v>
      </c>
      <c r="F22" s="43">
        <f>SUMIF('Entrada TD'!$E$8:$E$43,'Reliquidación TD'!$B22,'Entrada TD'!I$8:I$43)</f>
        <v>28244</v>
      </c>
      <c r="G22" s="43">
        <f>SUMIF('Entrada TD'!$E$8:$E$43,'Reliquidación TD'!$B22,'Entrada TD'!J$8:J$43)</f>
        <v>0</v>
      </c>
      <c r="H22" s="43">
        <v>0</v>
      </c>
      <c r="I22" s="43">
        <f t="shared" si="0"/>
        <v>0</v>
      </c>
      <c r="J22" s="43">
        <v>0</v>
      </c>
      <c r="K22" s="43">
        <f t="shared" si="3"/>
        <v>0</v>
      </c>
      <c r="L22" s="43">
        <f t="shared" si="4"/>
        <v>0</v>
      </c>
      <c r="M22" s="43">
        <f t="shared" si="5"/>
        <v>0</v>
      </c>
      <c r="N22" s="43">
        <f t="shared" si="6"/>
        <v>0</v>
      </c>
      <c r="O22" s="43">
        <f t="shared" si="1"/>
        <v>0</v>
      </c>
      <c r="P22" s="43">
        <f t="shared" si="2"/>
        <v>0</v>
      </c>
    </row>
    <row r="23" spans="2:16" x14ac:dyDescent="0.2">
      <c r="B23" s="42" t="s">
        <v>30</v>
      </c>
      <c r="C23" s="43">
        <f>SUMIF('Entrada TD'!$E$8:$E$43,'Reliquidación TD'!$B23,'Entrada TD'!F$8:F$43)</f>
        <v>12579642</v>
      </c>
      <c r="D23" s="43">
        <f>SUMIF('Entrada TD'!$E$8:$E$43,'Reliquidación TD'!$B23,'Entrada TD'!G$8:G$43)</f>
        <v>14055928</v>
      </c>
      <c r="E23" s="43">
        <f>SUMIF('Entrada TD'!$E$8:$E$43,'Reliquidación TD'!$B23,'Entrada TD'!H$8:H$43)</f>
        <v>805237</v>
      </c>
      <c r="F23" s="43">
        <f>SUMIF('Entrada TD'!$E$8:$E$43,'Reliquidación TD'!$B23,'Entrada TD'!I$8:I$43)</f>
        <v>160722</v>
      </c>
      <c r="G23" s="43">
        <f>SUMIF('Entrada TD'!$E$8:$E$43,'Reliquidación TD'!$B23,'Entrada TD'!J$8:J$43)</f>
        <v>0</v>
      </c>
      <c r="H23" s="43">
        <v>0</v>
      </c>
      <c r="I23" s="43">
        <f t="shared" si="0"/>
        <v>0</v>
      </c>
      <c r="J23" s="43">
        <v>0</v>
      </c>
      <c r="K23" s="43">
        <f t="shared" si="3"/>
        <v>0</v>
      </c>
      <c r="L23" s="43">
        <f t="shared" si="4"/>
        <v>0</v>
      </c>
      <c r="M23" s="43">
        <f t="shared" si="5"/>
        <v>0</v>
      </c>
      <c r="N23" s="43">
        <f t="shared" si="6"/>
        <v>0</v>
      </c>
      <c r="O23" s="43">
        <f t="shared" si="1"/>
        <v>0</v>
      </c>
      <c r="P23" s="43">
        <f t="shared" si="2"/>
        <v>0</v>
      </c>
    </row>
    <row r="24" spans="2:16" x14ac:dyDescent="0.2">
      <c r="B24" s="42" t="s">
        <v>31</v>
      </c>
      <c r="C24" s="43">
        <f>SUMIF('Entrada TD'!$E$8:$E$43,'Reliquidación TD'!$B24,'Entrada TD'!F$8:F$43)</f>
        <v>1658481</v>
      </c>
      <c r="D24" s="43">
        <f>SUMIF('Entrada TD'!$E$8:$E$43,'Reliquidación TD'!$B24,'Entrada TD'!G$8:G$43)</f>
        <v>13698754</v>
      </c>
      <c r="E24" s="43">
        <f>SUMIF('Entrada TD'!$E$8:$E$43,'Reliquidación TD'!$B24,'Entrada TD'!H$8:H$43)</f>
        <v>1</v>
      </c>
      <c r="F24" s="43">
        <f>SUMIF('Entrada TD'!$E$8:$E$43,'Reliquidación TD'!$B24,'Entrada TD'!I$8:I$43)</f>
        <v>81836</v>
      </c>
      <c r="G24" s="43">
        <f>SUMIF('Entrada TD'!$E$8:$E$43,'Reliquidación TD'!$B24,'Entrada TD'!J$8:J$43)</f>
        <v>0</v>
      </c>
      <c r="H24" s="43">
        <v>0</v>
      </c>
      <c r="I24" s="43">
        <f t="shared" si="0"/>
        <v>0</v>
      </c>
      <c r="J24" s="43">
        <v>0</v>
      </c>
      <c r="K24" s="43">
        <f t="shared" si="3"/>
        <v>0</v>
      </c>
      <c r="L24" s="43">
        <f t="shared" si="4"/>
        <v>0</v>
      </c>
      <c r="M24" s="43">
        <f t="shared" si="5"/>
        <v>0</v>
      </c>
      <c r="N24" s="43">
        <f t="shared" si="6"/>
        <v>0</v>
      </c>
      <c r="O24" s="43">
        <f t="shared" si="1"/>
        <v>0</v>
      </c>
      <c r="P24" s="43">
        <f t="shared" si="2"/>
        <v>0</v>
      </c>
    </row>
    <row r="25" spans="2:16" x14ac:dyDescent="0.2">
      <c r="B25" s="42" t="s">
        <v>32</v>
      </c>
      <c r="C25" s="43">
        <f>SUMIF('Entrada TD'!$E$8:$E$43,'Reliquidación TD'!$B25,'Entrada TD'!F$8:F$43)</f>
        <v>784466</v>
      </c>
      <c r="D25" s="43">
        <f>SUMIF('Entrada TD'!$E$8:$E$43,'Reliquidación TD'!$B25,'Entrada TD'!G$8:G$43)</f>
        <v>4993205</v>
      </c>
      <c r="E25" s="43">
        <f>SUMIF('Entrada TD'!$E$8:$E$43,'Reliquidación TD'!$B25,'Entrada TD'!H$8:H$43)</f>
        <v>273368</v>
      </c>
      <c r="F25" s="43">
        <f>SUMIF('Entrada TD'!$E$8:$E$43,'Reliquidación TD'!$B25,'Entrada TD'!I$8:I$43)</f>
        <v>41834</v>
      </c>
      <c r="G25" s="43">
        <f>SUMIF('Entrada TD'!$E$8:$E$43,'Reliquidación TD'!$B25,'Entrada TD'!J$8:J$43)</f>
        <v>0</v>
      </c>
      <c r="H25" s="43">
        <v>0</v>
      </c>
      <c r="I25" s="43">
        <f t="shared" si="0"/>
        <v>0</v>
      </c>
      <c r="J25" s="43">
        <v>0</v>
      </c>
      <c r="K25" s="43">
        <f t="shared" si="3"/>
        <v>0</v>
      </c>
      <c r="L25" s="43">
        <f t="shared" si="4"/>
        <v>0</v>
      </c>
      <c r="M25" s="43">
        <f t="shared" si="5"/>
        <v>0</v>
      </c>
      <c r="N25" s="43">
        <f t="shared" si="6"/>
        <v>0</v>
      </c>
      <c r="O25" s="43">
        <f t="shared" si="1"/>
        <v>0</v>
      </c>
      <c r="P25" s="43">
        <f t="shared" si="2"/>
        <v>0</v>
      </c>
    </row>
    <row r="26" spans="2:16" x14ac:dyDescent="0.2">
      <c r="B26" s="42" t="s">
        <v>33</v>
      </c>
      <c r="C26" s="43">
        <f>SUMIF('Entrada TD'!$E$8:$E$43,'Reliquidación TD'!$B26,'Entrada TD'!F$8:F$43)</f>
        <v>2279267</v>
      </c>
      <c r="D26" s="43">
        <f>SUMIF('Entrada TD'!$E$8:$E$43,'Reliquidación TD'!$B26,'Entrada TD'!G$8:G$43)</f>
        <v>2372370</v>
      </c>
      <c r="E26" s="43">
        <f>SUMIF('Entrada TD'!$E$8:$E$43,'Reliquidación TD'!$B26,'Entrada TD'!H$8:H$43)</f>
        <v>108079</v>
      </c>
      <c r="F26" s="43">
        <f>SUMIF('Entrada TD'!$E$8:$E$43,'Reliquidación TD'!$B26,'Entrada TD'!I$8:I$43)</f>
        <v>8368</v>
      </c>
      <c r="G26" s="43">
        <f>SUMIF('Entrada TD'!$E$8:$E$43,'Reliquidación TD'!$B26,'Entrada TD'!J$8:J$43)</f>
        <v>0</v>
      </c>
      <c r="H26" s="43">
        <v>0</v>
      </c>
      <c r="I26" s="43">
        <f t="shared" si="0"/>
        <v>0</v>
      </c>
      <c r="J26" s="43">
        <v>0</v>
      </c>
      <c r="K26" s="43">
        <f t="shared" si="3"/>
        <v>0</v>
      </c>
      <c r="L26" s="43">
        <f t="shared" si="4"/>
        <v>0</v>
      </c>
      <c r="M26" s="43">
        <f t="shared" si="5"/>
        <v>0</v>
      </c>
      <c r="N26" s="43">
        <f t="shared" si="6"/>
        <v>0</v>
      </c>
      <c r="O26" s="43">
        <f t="shared" si="1"/>
        <v>0</v>
      </c>
      <c r="P26" s="43">
        <f t="shared" si="2"/>
        <v>0</v>
      </c>
    </row>
    <row r="27" spans="2:16" x14ac:dyDescent="0.2">
      <c r="B27" s="42" t="s">
        <v>34</v>
      </c>
      <c r="C27" s="43">
        <f>SUMIF('Entrada TD'!$E$8:$E$43,'Reliquidación TD'!$B27,'Entrada TD'!F$8:F$43)</f>
        <v>5547113</v>
      </c>
      <c r="D27" s="43">
        <f>SUMIF('Entrada TD'!$E$8:$E$43,'Reliquidación TD'!$B27,'Entrada TD'!G$8:G$43)</f>
        <v>8393589</v>
      </c>
      <c r="E27" s="43">
        <f>SUMIF('Entrada TD'!$E$8:$E$43,'Reliquidación TD'!$B27,'Entrada TD'!H$8:H$43)</f>
        <v>385170</v>
      </c>
      <c r="F27" s="43">
        <f>SUMIF('Entrada TD'!$E$8:$E$43,'Reliquidación TD'!$B27,'Entrada TD'!I$8:I$43)</f>
        <v>97962</v>
      </c>
      <c r="G27" s="43">
        <f>SUMIF('Entrada TD'!$E$8:$E$43,'Reliquidación TD'!$B27,'Entrada TD'!J$8:J$43)</f>
        <v>0</v>
      </c>
      <c r="H27" s="43">
        <v>0</v>
      </c>
      <c r="I27" s="43">
        <f t="shared" si="0"/>
        <v>0</v>
      </c>
      <c r="J27" s="43">
        <v>0</v>
      </c>
      <c r="K27" s="43">
        <f t="shared" si="3"/>
        <v>0</v>
      </c>
      <c r="L27" s="43">
        <f t="shared" si="4"/>
        <v>0</v>
      </c>
      <c r="M27" s="43">
        <f t="shared" si="5"/>
        <v>0</v>
      </c>
      <c r="N27" s="43">
        <f t="shared" si="6"/>
        <v>0</v>
      </c>
      <c r="O27" s="43">
        <f t="shared" si="1"/>
        <v>0</v>
      </c>
      <c r="P27" s="43">
        <f t="shared" si="2"/>
        <v>0</v>
      </c>
    </row>
    <row r="28" spans="2:16" x14ac:dyDescent="0.2">
      <c r="B28" s="42" t="s">
        <v>35</v>
      </c>
      <c r="C28" s="43">
        <f>SUMIF('Entrada TD'!$E$8:$E$43,'Reliquidación TD'!$B28,'Entrada TD'!F$8:F$43)</f>
        <v>20343709.010000002</v>
      </c>
      <c r="D28" s="43">
        <f>SUMIF('Entrada TD'!$E$8:$E$43,'Reliquidación TD'!$B28,'Entrada TD'!G$8:G$43)</f>
        <v>59942717.369999997</v>
      </c>
      <c r="E28" s="43">
        <f>SUMIF('Entrada TD'!$E$8:$E$43,'Reliquidación TD'!$B28,'Entrada TD'!H$8:H$43)</f>
        <v>244851.97099999999</v>
      </c>
      <c r="F28" s="43">
        <f>SUMIF('Entrada TD'!$E$8:$E$43,'Reliquidación TD'!$B28,'Entrada TD'!I$8:I$43)</f>
        <v>182729</v>
      </c>
      <c r="G28" s="43">
        <f>SUMIF('Entrada TD'!$E$8:$E$43,'Reliquidación TD'!$B28,'Entrada TD'!J$8:J$43)</f>
        <v>11859.798136482999</v>
      </c>
      <c r="H28" s="43">
        <v>0</v>
      </c>
      <c r="I28" s="43">
        <f t="shared" si="0"/>
        <v>0</v>
      </c>
      <c r="J28" s="43">
        <v>0</v>
      </c>
      <c r="K28" s="43">
        <f t="shared" si="3"/>
        <v>0</v>
      </c>
      <c r="L28" s="43">
        <f t="shared" si="4"/>
        <v>11859.798136482999</v>
      </c>
      <c r="M28" s="43">
        <f t="shared" si="5"/>
        <v>0</v>
      </c>
      <c r="N28" s="43">
        <f t="shared" si="6"/>
        <v>11859.798136482999</v>
      </c>
      <c r="O28" s="43">
        <f t="shared" si="1"/>
        <v>-159.0652730043353</v>
      </c>
      <c r="P28" s="43">
        <f t="shared" si="2"/>
        <v>11700.732863478665</v>
      </c>
    </row>
    <row r="29" spans="2:16" x14ac:dyDescent="0.2">
      <c r="B29" s="42" t="s">
        <v>36</v>
      </c>
      <c r="C29" s="43">
        <f>SUMIF('Entrada TD'!$E$8:$E$43,'Reliquidación TD'!$B29,'Entrada TD'!F$8:F$43)</f>
        <v>7232589.8899999997</v>
      </c>
      <c r="D29" s="43">
        <f>SUMIF('Entrada TD'!$E$8:$E$43,'Reliquidación TD'!$B29,'Entrada TD'!G$8:G$43)</f>
        <v>4284916.54</v>
      </c>
      <c r="E29" s="43">
        <f>SUMIF('Entrada TD'!$E$8:$E$43,'Reliquidación TD'!$B29,'Entrada TD'!H$8:H$43)</f>
        <v>221082.74</v>
      </c>
      <c r="F29" s="43">
        <f>SUMIF('Entrada TD'!$E$8:$E$43,'Reliquidación TD'!$B29,'Entrada TD'!I$8:I$43)</f>
        <v>24298</v>
      </c>
      <c r="G29" s="43">
        <f>SUMIF('Entrada TD'!$E$8:$E$43,'Reliquidación TD'!$B29,'Entrada TD'!J$8:J$43)</f>
        <v>379.83926065359992</v>
      </c>
      <c r="H29" s="43">
        <v>0</v>
      </c>
      <c r="I29" s="43">
        <f t="shared" si="0"/>
        <v>0</v>
      </c>
      <c r="J29" s="43">
        <v>0</v>
      </c>
      <c r="K29" s="43">
        <f t="shared" si="3"/>
        <v>0</v>
      </c>
      <c r="L29" s="43">
        <f t="shared" si="4"/>
        <v>379.83926065359992</v>
      </c>
      <c r="M29" s="43">
        <f t="shared" si="5"/>
        <v>0</v>
      </c>
      <c r="N29" s="43">
        <f t="shared" si="6"/>
        <v>379.83926065359992</v>
      </c>
      <c r="O29" s="43">
        <f t="shared" si="1"/>
        <v>-5.0944573422180488</v>
      </c>
      <c r="P29" s="43">
        <f t="shared" si="2"/>
        <v>374.74480331138187</v>
      </c>
    </row>
    <row r="30" spans="2:16" x14ac:dyDescent="0.2">
      <c r="B30" s="42" t="s">
        <v>37</v>
      </c>
      <c r="C30" s="43">
        <f>SUMIF('Entrada TD'!$E$8:$E$43,'Reliquidación TD'!$B30,'Entrada TD'!F$8:F$43)</f>
        <v>37963452.560000002</v>
      </c>
      <c r="D30" s="43">
        <f>SUMIF('Entrada TD'!$E$8:$E$43,'Reliquidación TD'!$B30,'Entrada TD'!G$8:G$43)</f>
        <v>92895852.049999997</v>
      </c>
      <c r="E30" s="43">
        <f>SUMIF('Entrada TD'!$E$8:$E$43,'Reliquidación TD'!$B30,'Entrada TD'!H$8:H$43)</f>
        <v>274390.12</v>
      </c>
      <c r="F30" s="43">
        <f>SUMIF('Entrada TD'!$E$8:$E$43,'Reliquidación TD'!$B30,'Entrada TD'!I$8:I$43)</f>
        <v>269443.40000000002</v>
      </c>
      <c r="G30" s="43">
        <f>SUMIF('Entrada TD'!$E$8:$E$43,'Reliquidación TD'!$B30,'Entrada TD'!J$8:J$43)</f>
        <v>0</v>
      </c>
      <c r="H30" s="43">
        <v>0</v>
      </c>
      <c r="I30" s="43">
        <f t="shared" si="0"/>
        <v>0</v>
      </c>
      <c r="J30" s="43">
        <v>0</v>
      </c>
      <c r="K30" s="43">
        <f t="shared" si="3"/>
        <v>0</v>
      </c>
      <c r="L30" s="43">
        <f t="shared" si="4"/>
        <v>0</v>
      </c>
      <c r="M30" s="43">
        <f t="shared" si="5"/>
        <v>0</v>
      </c>
      <c r="N30" s="43">
        <f t="shared" si="6"/>
        <v>0</v>
      </c>
      <c r="O30" s="43">
        <f t="shared" si="1"/>
        <v>0</v>
      </c>
      <c r="P30" s="43">
        <f t="shared" si="2"/>
        <v>0</v>
      </c>
    </row>
    <row r="31" spans="2:16" x14ac:dyDescent="0.2">
      <c r="B31" s="42" t="s">
        <v>38</v>
      </c>
      <c r="C31" s="43">
        <f>SUMIF('Entrada TD'!$E$8:$E$43,'Reliquidación TD'!$B31,'Entrada TD'!F$8:F$43)</f>
        <v>2775139</v>
      </c>
      <c r="D31" s="43">
        <f>SUMIF('Entrada TD'!$E$8:$E$43,'Reliquidación TD'!$B31,'Entrada TD'!G$8:G$43)</f>
        <v>3228410</v>
      </c>
      <c r="E31" s="43">
        <f>SUMIF('Entrada TD'!$E$8:$E$43,'Reliquidación TD'!$B31,'Entrada TD'!H$8:H$43)</f>
        <v>34546</v>
      </c>
      <c r="F31" s="43">
        <f>SUMIF('Entrada TD'!$E$8:$E$43,'Reliquidación TD'!$B31,'Entrada TD'!I$8:I$43)</f>
        <v>15593</v>
      </c>
      <c r="G31" s="43">
        <f>SUMIF('Entrada TD'!$E$8:$E$43,'Reliquidación TD'!$B31,'Entrada TD'!J$8:J$43)</f>
        <v>0</v>
      </c>
      <c r="H31" s="43">
        <v>0</v>
      </c>
      <c r="I31" s="43">
        <f t="shared" si="0"/>
        <v>0</v>
      </c>
      <c r="J31" s="43">
        <v>0</v>
      </c>
      <c r="K31" s="43">
        <f t="shared" si="3"/>
        <v>0</v>
      </c>
      <c r="L31" s="43">
        <f t="shared" si="4"/>
        <v>0</v>
      </c>
      <c r="M31" s="43">
        <f t="shared" si="5"/>
        <v>0</v>
      </c>
      <c r="N31" s="43">
        <f t="shared" si="6"/>
        <v>0</v>
      </c>
      <c r="O31" s="43">
        <f t="shared" si="1"/>
        <v>0</v>
      </c>
      <c r="P31" s="43">
        <f t="shared" si="2"/>
        <v>0</v>
      </c>
    </row>
    <row r="32" spans="2:16" x14ac:dyDescent="0.2">
      <c r="B32" s="42" t="s">
        <v>39</v>
      </c>
      <c r="C32" s="43">
        <f>SUMIF('Entrada TD'!$E$8:$E$43,'Reliquidación TD'!$B32,'Entrada TD'!F$8:F$43)</f>
        <v>47169688.200000003</v>
      </c>
      <c r="D32" s="43">
        <f>SUMIF('Entrada TD'!$E$8:$E$43,'Reliquidación TD'!$B32,'Entrada TD'!G$8:G$43)</f>
        <v>129845747.15020999</v>
      </c>
      <c r="E32" s="43">
        <f>SUMIF('Entrada TD'!$E$8:$E$43,'Reliquidación TD'!$B32,'Entrada TD'!H$8:H$43)</f>
        <v>2333169.5</v>
      </c>
      <c r="F32" s="43">
        <f>SUMIF('Entrada TD'!$E$8:$E$43,'Reliquidación TD'!$B32,'Entrada TD'!I$8:I$43)</f>
        <v>871069.2</v>
      </c>
      <c r="G32" s="43">
        <f>SUMIF('Entrada TD'!$E$8:$E$43,'Reliquidación TD'!$B32,'Entrada TD'!J$8:J$43)</f>
        <v>65049.369226843548</v>
      </c>
      <c r="H32" s="43">
        <v>0</v>
      </c>
      <c r="I32" s="43">
        <f t="shared" si="0"/>
        <v>0</v>
      </c>
      <c r="J32" s="43">
        <v>0</v>
      </c>
      <c r="K32" s="43">
        <f t="shared" si="3"/>
        <v>0</v>
      </c>
      <c r="L32" s="43">
        <f t="shared" si="4"/>
        <v>65049.369226843548</v>
      </c>
      <c r="M32" s="43">
        <f t="shared" si="5"/>
        <v>0</v>
      </c>
      <c r="N32" s="43">
        <f t="shared" si="6"/>
        <v>65049.369226843548</v>
      </c>
      <c r="O32" s="43">
        <f t="shared" si="1"/>
        <v>-872.45124712519669</v>
      </c>
      <c r="P32" s="43">
        <f t="shared" si="2"/>
        <v>64176.917979718353</v>
      </c>
    </row>
    <row r="33" spans="2:16" x14ac:dyDescent="0.2">
      <c r="B33" s="42" t="s">
        <v>40</v>
      </c>
      <c r="C33" s="43">
        <f>SUMIF('Entrada TD'!$E$8:$E$43,'Reliquidación TD'!$B33,'Entrada TD'!F$8:F$43)</f>
        <v>2024167.1</v>
      </c>
      <c r="D33" s="43">
        <f>SUMIF('Entrada TD'!$E$8:$E$43,'Reliquidación TD'!$B33,'Entrada TD'!G$8:G$43)</f>
        <v>3180908.1</v>
      </c>
      <c r="E33" s="43">
        <f>SUMIF('Entrada TD'!$E$8:$E$43,'Reliquidación TD'!$B33,'Entrada TD'!H$8:H$43)</f>
        <v>43633</v>
      </c>
      <c r="F33" s="43">
        <f>SUMIF('Entrada TD'!$E$8:$E$43,'Reliquidación TD'!$B33,'Entrada TD'!I$8:I$43)</f>
        <v>103787.1</v>
      </c>
      <c r="G33" s="43">
        <f>SUMIF('Entrada TD'!$E$8:$E$43,'Reliquidación TD'!$B33,'Entrada TD'!J$8:J$43)</f>
        <v>0</v>
      </c>
      <c r="H33" s="43">
        <v>0</v>
      </c>
      <c r="I33" s="43">
        <f t="shared" si="0"/>
        <v>0</v>
      </c>
      <c r="J33" s="43">
        <v>0</v>
      </c>
      <c r="K33" s="43">
        <f t="shared" si="3"/>
        <v>0</v>
      </c>
      <c r="L33" s="43">
        <f t="shared" si="4"/>
        <v>0</v>
      </c>
      <c r="M33" s="43">
        <f t="shared" si="5"/>
        <v>0</v>
      </c>
      <c r="N33" s="43">
        <f t="shared" si="6"/>
        <v>0</v>
      </c>
      <c r="O33" s="43">
        <f t="shared" si="1"/>
        <v>0</v>
      </c>
      <c r="P33" s="43">
        <f t="shared" si="2"/>
        <v>0</v>
      </c>
    </row>
    <row r="34" spans="2:16" x14ac:dyDescent="0.2">
      <c r="B34" s="42" t="s">
        <v>41</v>
      </c>
      <c r="C34" s="43">
        <f>SUMIF('Entrada TD'!$E$8:$E$43,'Reliquidación TD'!$B34,'Entrada TD'!F$8:F$43)</f>
        <v>1599535.9</v>
      </c>
      <c r="D34" s="43">
        <f>SUMIF('Entrada TD'!$E$8:$E$43,'Reliquidación TD'!$B34,'Entrada TD'!G$8:G$43)</f>
        <v>11659642.3651</v>
      </c>
      <c r="E34" s="43">
        <f>SUMIF('Entrada TD'!$E$8:$E$43,'Reliquidación TD'!$B34,'Entrada TD'!H$8:H$43)</f>
        <v>2846</v>
      </c>
      <c r="F34" s="43">
        <f>SUMIF('Entrada TD'!$E$8:$E$43,'Reliquidación TD'!$B34,'Entrada TD'!I$8:I$43)</f>
        <v>57695</v>
      </c>
      <c r="G34" s="43">
        <f>SUMIF('Entrada TD'!$E$8:$E$43,'Reliquidación TD'!$B34,'Entrada TD'!J$8:J$43)</f>
        <v>10796.61869717578</v>
      </c>
      <c r="H34" s="43">
        <v>0</v>
      </c>
      <c r="I34" s="43">
        <f t="shared" si="0"/>
        <v>0</v>
      </c>
      <c r="J34" s="43">
        <v>0</v>
      </c>
      <c r="K34" s="43">
        <f t="shared" si="3"/>
        <v>0</v>
      </c>
      <c r="L34" s="43">
        <f t="shared" si="4"/>
        <v>10796.61869717578</v>
      </c>
      <c r="M34" s="43">
        <f t="shared" si="5"/>
        <v>0</v>
      </c>
      <c r="N34" s="43">
        <f t="shared" si="6"/>
        <v>10796.61869717578</v>
      </c>
      <c r="O34" s="43">
        <f t="shared" si="1"/>
        <v>-144.80576151688686</v>
      </c>
      <c r="P34" s="43">
        <f t="shared" si="2"/>
        <v>10651.812935658892</v>
      </c>
    </row>
    <row r="35" spans="2:16" x14ac:dyDescent="0.2">
      <c r="B35" s="42" t="s">
        <v>42</v>
      </c>
      <c r="C35" s="43">
        <f>SUMIF('Entrada TD'!$E$8:$E$43,'Reliquidación TD'!$B35,'Entrada TD'!F$8:F$43)</f>
        <v>8000439.7999999998</v>
      </c>
      <c r="D35" s="43">
        <f>SUMIF('Entrada TD'!$E$8:$E$43,'Reliquidación TD'!$B35,'Entrada TD'!G$8:G$43)</f>
        <v>6815829.9396000002</v>
      </c>
      <c r="E35" s="43">
        <f>SUMIF('Entrada TD'!$E$8:$E$43,'Reliquidación TD'!$B35,'Entrada TD'!H$8:H$43)</f>
        <v>335599</v>
      </c>
      <c r="F35" s="43">
        <f>SUMIF('Entrada TD'!$E$8:$E$43,'Reliquidación TD'!$B35,'Entrada TD'!I$8:I$43)</f>
        <v>39272.500200000002</v>
      </c>
      <c r="G35" s="43">
        <f>SUMIF('Entrada TD'!$E$8:$E$43,'Reliquidación TD'!$B35,'Entrada TD'!J$8:J$43)</f>
        <v>87.364928068529366</v>
      </c>
      <c r="H35" s="43">
        <v>0</v>
      </c>
      <c r="I35" s="43">
        <f t="shared" si="0"/>
        <v>0</v>
      </c>
      <c r="J35" s="43">
        <v>0</v>
      </c>
      <c r="K35" s="43">
        <f t="shared" si="3"/>
        <v>0</v>
      </c>
      <c r="L35" s="43">
        <f t="shared" si="4"/>
        <v>87.364928068529366</v>
      </c>
      <c r="M35" s="43">
        <f t="shared" si="5"/>
        <v>0</v>
      </c>
      <c r="N35" s="43">
        <f t="shared" si="6"/>
        <v>87.364928068529366</v>
      </c>
      <c r="O35" s="43">
        <f t="shared" si="1"/>
        <v>-1.171750646537209</v>
      </c>
      <c r="P35" s="43">
        <f t="shared" si="2"/>
        <v>86.193177421992161</v>
      </c>
    </row>
    <row r="36" spans="2:16" x14ac:dyDescent="0.2">
      <c r="B36" s="42" t="s">
        <v>43</v>
      </c>
      <c r="C36" s="43">
        <f>SUMIF('Entrada TD'!$E$8:$E$43,'Reliquidación TD'!$B36,'Entrada TD'!F$8:F$43)</f>
        <v>9889670.5999999996</v>
      </c>
      <c r="D36" s="43">
        <f>SUMIF('Entrada TD'!$E$8:$E$43,'Reliquidación TD'!$B36,'Entrada TD'!G$8:G$43)</f>
        <v>5446425.7867000001</v>
      </c>
      <c r="E36" s="43">
        <f>SUMIF('Entrada TD'!$E$8:$E$43,'Reliquidación TD'!$B36,'Entrada TD'!H$8:H$43)</f>
        <v>260291</v>
      </c>
      <c r="F36" s="43">
        <f>SUMIF('Entrada TD'!$E$8:$E$43,'Reliquidación TD'!$B36,'Entrada TD'!I$8:I$43)</f>
        <v>76425</v>
      </c>
      <c r="G36" s="43">
        <f>SUMIF('Entrada TD'!$E$8:$E$43,'Reliquidación TD'!$B36,'Entrada TD'!J$8:J$43)</f>
        <v>5878.6222565021026</v>
      </c>
      <c r="H36" s="43">
        <v>0</v>
      </c>
      <c r="I36" s="43">
        <f t="shared" si="0"/>
        <v>0</v>
      </c>
      <c r="J36" s="43">
        <v>0</v>
      </c>
      <c r="K36" s="43">
        <f t="shared" si="3"/>
        <v>0</v>
      </c>
      <c r="L36" s="43">
        <f t="shared" si="4"/>
        <v>5878.6222565021026</v>
      </c>
      <c r="M36" s="43">
        <f t="shared" si="5"/>
        <v>0</v>
      </c>
      <c r="N36" s="43">
        <f t="shared" si="6"/>
        <v>5878.6222565021026</v>
      </c>
      <c r="O36" s="43">
        <f t="shared" si="1"/>
        <v>-78.84490472425243</v>
      </c>
      <c r="P36" s="43">
        <f t="shared" si="2"/>
        <v>5799.7773517778505</v>
      </c>
    </row>
    <row r="37" spans="2:16" x14ac:dyDescent="0.2">
      <c r="B37" s="42" t="s">
        <v>45</v>
      </c>
      <c r="C37" s="43">
        <f>SUMIF('Entrada TD'!$E$8:$E$43,'Reliquidación TD'!$B37,'Entrada TD'!F$8:F$43)</f>
        <v>631486</v>
      </c>
      <c r="D37" s="43">
        <f>SUMIF('Entrada TD'!$E$8:$E$43,'Reliquidación TD'!$B37,'Entrada TD'!G$8:G$43)</f>
        <v>991478</v>
      </c>
      <c r="E37" s="43">
        <f>SUMIF('Entrada TD'!$E$8:$E$43,'Reliquidación TD'!$B37,'Entrada TD'!H$8:H$43)</f>
        <v>34425</v>
      </c>
      <c r="F37" s="43">
        <f>SUMIF('Entrada TD'!$E$8:$E$43,'Reliquidación TD'!$B37,'Entrada TD'!I$8:I$43)</f>
        <v>12094</v>
      </c>
      <c r="G37" s="43">
        <f>SUMIF('Entrada TD'!$E$8:$E$43,'Reliquidación TD'!$B37,'Entrada TD'!J$8:J$43)</f>
        <v>0</v>
      </c>
      <c r="H37" s="43">
        <v>0</v>
      </c>
      <c r="I37" s="43">
        <f t="shared" si="0"/>
        <v>0</v>
      </c>
      <c r="J37" s="43">
        <v>0</v>
      </c>
      <c r="K37" s="43">
        <f t="shared" si="3"/>
        <v>0</v>
      </c>
      <c r="L37" s="43">
        <f t="shared" si="4"/>
        <v>0</v>
      </c>
      <c r="M37" s="43">
        <f t="shared" si="5"/>
        <v>0</v>
      </c>
      <c r="N37" s="43">
        <f t="shared" si="6"/>
        <v>0</v>
      </c>
      <c r="O37" s="43">
        <f t="shared" si="1"/>
        <v>0</v>
      </c>
      <c r="P37" s="43">
        <f t="shared" si="2"/>
        <v>0</v>
      </c>
    </row>
    <row r="38" spans="2:16" x14ac:dyDescent="0.2">
      <c r="B38" s="42" t="s">
        <v>46</v>
      </c>
      <c r="C38" s="43">
        <f>SUMIF('Entrada TD'!$E$8:$E$43,'Reliquidación TD'!$B38,'Entrada TD'!F$8:F$43)</f>
        <v>3488306.997</v>
      </c>
      <c r="D38" s="43">
        <f>SUMIF('Entrada TD'!$E$8:$E$43,'Reliquidación TD'!$B38,'Entrada TD'!G$8:G$43)</f>
        <v>17890534.035999998</v>
      </c>
      <c r="E38" s="43">
        <f>SUMIF('Entrada TD'!$E$8:$E$43,'Reliquidación TD'!$B38,'Entrada TD'!H$8:H$43)</f>
        <v>6102</v>
      </c>
      <c r="F38" s="43">
        <f>SUMIF('Entrada TD'!$E$8:$E$43,'Reliquidación TD'!$B38,'Entrada TD'!I$8:I$43)</f>
        <v>25475.017</v>
      </c>
      <c r="G38" s="43">
        <f>SUMIF('Entrada TD'!$E$8:$E$43,'Reliquidación TD'!$B38,'Entrada TD'!J$8:J$43)</f>
        <v>0</v>
      </c>
      <c r="H38" s="43">
        <v>0</v>
      </c>
      <c r="I38" s="43">
        <f t="shared" si="0"/>
        <v>0</v>
      </c>
      <c r="J38" s="43">
        <v>0</v>
      </c>
      <c r="K38" s="43">
        <f t="shared" si="3"/>
        <v>0</v>
      </c>
      <c r="L38" s="43">
        <f t="shared" si="4"/>
        <v>0</v>
      </c>
      <c r="M38" s="43">
        <f>IF(L38&lt;0,-L38,0)</f>
        <v>0</v>
      </c>
      <c r="N38" s="43">
        <f>IF(L38&gt;0,L38,0)</f>
        <v>0</v>
      </c>
      <c r="O38" s="43">
        <f t="shared" si="1"/>
        <v>0</v>
      </c>
      <c r="P38" s="43">
        <f t="shared" si="2"/>
        <v>0</v>
      </c>
    </row>
    <row r="39" spans="2:16" x14ac:dyDescent="0.2">
      <c r="B39" s="42" t="s">
        <v>47</v>
      </c>
      <c r="C39" s="43">
        <f>SUMIF('Entrada TD'!$E$8:$E$43,'Reliquidación TD'!$B39,'Entrada TD'!F$8:F$43)</f>
        <v>5923962.2429999998</v>
      </c>
      <c r="D39" s="43">
        <f>SUMIF('Entrada TD'!$E$8:$E$43,'Reliquidación TD'!$B39,'Entrada TD'!G$8:G$43)</f>
        <v>26188400.357999999</v>
      </c>
      <c r="E39" s="43">
        <f>SUMIF('Entrada TD'!$E$8:$E$43,'Reliquidación TD'!$B39,'Entrada TD'!H$8:H$43)</f>
        <v>15941.1</v>
      </c>
      <c r="F39" s="43">
        <f>SUMIF('Entrada TD'!$E$8:$E$43,'Reliquidación TD'!$B39,'Entrada TD'!I$8:I$43)</f>
        <v>14894.528</v>
      </c>
      <c r="G39" s="43">
        <f>SUMIF('Entrada TD'!$E$8:$E$43,'Reliquidación TD'!$B39,'Entrada TD'!J$8:J$43)</f>
        <v>3683.5062540483641</v>
      </c>
      <c r="H39" s="43">
        <v>0</v>
      </c>
      <c r="I39" s="43">
        <f t="shared" si="0"/>
        <v>0</v>
      </c>
      <c r="J39" s="43">
        <v>0</v>
      </c>
      <c r="K39" s="43">
        <f t="shared" si="3"/>
        <v>0</v>
      </c>
      <c r="L39" s="43">
        <f t="shared" si="4"/>
        <v>3683.5062540483641</v>
      </c>
      <c r="M39" s="43">
        <f t="shared" si="5"/>
        <v>0</v>
      </c>
      <c r="N39" s="43">
        <f t="shared" si="6"/>
        <v>3683.5062540483641</v>
      </c>
      <c r="O39" s="43">
        <f t="shared" si="1"/>
        <v>-49.40370157827428</v>
      </c>
      <c r="P39" s="43">
        <f t="shared" si="2"/>
        <v>3634.1025524700899</v>
      </c>
    </row>
    <row r="40" spans="2:16" x14ac:dyDescent="0.2">
      <c r="B40" s="42" t="s">
        <v>48</v>
      </c>
      <c r="C40" s="43">
        <f>SUMIF('Entrada TD'!$E$8:$E$43,'Reliquidación TD'!$B40,'Entrada TD'!F$8:F$43)</f>
        <v>10363964.34</v>
      </c>
      <c r="D40" s="43">
        <f>SUMIF('Entrada TD'!$E$8:$E$43,'Reliquidación TD'!$B40,'Entrada TD'!G$8:G$43)</f>
        <v>48028105.623999998</v>
      </c>
      <c r="E40" s="43">
        <f>SUMIF('Entrada TD'!$E$8:$E$43,'Reliquidación TD'!$B40,'Entrada TD'!H$8:H$43)</f>
        <v>79292.58</v>
      </c>
      <c r="F40" s="43">
        <f>SUMIF('Entrada TD'!$E$8:$E$43,'Reliquidación TD'!$B40,'Entrada TD'!I$8:I$43)</f>
        <v>73327.173999999999</v>
      </c>
      <c r="G40" s="43">
        <f>SUMIF('Entrada TD'!$E$8:$E$43,'Reliquidación TD'!$B40,'Entrada TD'!J$8:J$43)</f>
        <v>-37316.126916694891</v>
      </c>
      <c r="H40" s="43">
        <v>0</v>
      </c>
      <c r="I40" s="43">
        <f t="shared" si="0"/>
        <v>0</v>
      </c>
      <c r="J40" s="43">
        <v>0</v>
      </c>
      <c r="K40" s="43">
        <f t="shared" si="3"/>
        <v>0</v>
      </c>
      <c r="L40" s="43">
        <f t="shared" si="4"/>
        <v>-37316.126916694891</v>
      </c>
      <c r="M40" s="43">
        <f t="shared" si="5"/>
        <v>37316.126916694891</v>
      </c>
      <c r="N40" s="43">
        <f t="shared" si="6"/>
        <v>0</v>
      </c>
      <c r="O40" s="43">
        <f t="shared" si="1"/>
        <v>37316.126916694891</v>
      </c>
      <c r="P40" s="43">
        <f t="shared" si="2"/>
        <v>0</v>
      </c>
    </row>
    <row r="41" spans="2:16" x14ac:dyDescent="0.2">
      <c r="B41" s="42" t="s">
        <v>49</v>
      </c>
      <c r="C41" s="43">
        <f>SUMIF('Entrada TD'!$E$8:$E$43,'Reliquidación TD'!$B41,'Entrada TD'!F$8:F$43)</f>
        <v>0</v>
      </c>
      <c r="D41" s="43">
        <f>SUMIF('Entrada TD'!$E$8:$E$43,'Reliquidación TD'!$B41,'Entrada TD'!G$8:G$43)</f>
        <v>0</v>
      </c>
      <c r="E41" s="43">
        <f>SUMIF('Entrada TD'!$E$8:$E$43,'Reliquidación TD'!$B41,'Entrada TD'!H$8:H$43)</f>
        <v>0</v>
      </c>
      <c r="F41" s="43">
        <f>SUMIF('Entrada TD'!$E$8:$E$43,'Reliquidación TD'!$B41,'Entrada TD'!I$8:I$43)</f>
        <v>0</v>
      </c>
      <c r="G41" s="43">
        <f>SUMIF('Entrada TD'!$E$8:$E$43,'Reliquidación TD'!$B41,'Entrada TD'!J$8:J$43)</f>
        <v>0</v>
      </c>
      <c r="H41" s="43">
        <v>0</v>
      </c>
      <c r="I41" s="43">
        <f t="shared" si="0"/>
        <v>0</v>
      </c>
      <c r="J41" s="43">
        <v>0</v>
      </c>
      <c r="K41" s="43">
        <f t="shared" si="3"/>
        <v>0</v>
      </c>
      <c r="L41" s="43">
        <f t="shared" si="4"/>
        <v>0</v>
      </c>
      <c r="M41" s="43">
        <f>IF(L41&lt;0,-L41,0)</f>
        <v>0</v>
      </c>
      <c r="N41" s="43">
        <f>IF(L41&gt;0,L41,0)</f>
        <v>0</v>
      </c>
      <c r="O41" s="43">
        <f t="shared" si="1"/>
        <v>0</v>
      </c>
      <c r="P41" s="43">
        <f>L41+O41</f>
        <v>0</v>
      </c>
    </row>
    <row r="42" spans="2:16" x14ac:dyDescent="0.2">
      <c r="B42" s="42" t="s">
        <v>50</v>
      </c>
      <c r="C42" s="43">
        <f>SUMIF('Entrada TD'!$E$8:$E$43,'Reliquidación TD'!$B42,'Entrada TD'!F$8:F$43)</f>
        <v>0</v>
      </c>
      <c r="D42" s="43">
        <f>SUMIF('Entrada TD'!$E$8:$E$43,'Reliquidación TD'!$B42,'Entrada TD'!G$8:G$43)</f>
        <v>7680.2999999999993</v>
      </c>
      <c r="E42" s="43">
        <f>SUMIF('Entrada TD'!$E$8:$E$43,'Reliquidación TD'!$B42,'Entrada TD'!H$8:H$43)</f>
        <v>0</v>
      </c>
      <c r="F42" s="43">
        <f>SUMIF('Entrada TD'!$E$8:$E$43,'Reliquidación TD'!$B42,'Entrada TD'!I$8:I$43)</f>
        <v>0</v>
      </c>
      <c r="G42" s="43">
        <f>SUMIF('Entrada TD'!$E$8:$E$43,'Reliquidación TD'!$B42,'Entrada TD'!J$8:J$43)</f>
        <v>0</v>
      </c>
      <c r="H42" s="43">
        <v>0</v>
      </c>
      <c r="I42" s="43">
        <f t="shared" si="0"/>
        <v>0</v>
      </c>
      <c r="J42" s="43">
        <v>0</v>
      </c>
      <c r="K42" s="43">
        <f t="shared" si="3"/>
        <v>0</v>
      </c>
      <c r="L42" s="43">
        <f t="shared" si="4"/>
        <v>0</v>
      </c>
      <c r="M42" s="43">
        <f>IF(L42&lt;0,-L42,0)</f>
        <v>0</v>
      </c>
      <c r="N42" s="43">
        <f>IF(L42&gt;0,L42,0)</f>
        <v>0</v>
      </c>
      <c r="O42" s="43">
        <f t="shared" si="1"/>
        <v>0</v>
      </c>
      <c r="P42" s="43">
        <f>L42+O42</f>
        <v>0</v>
      </c>
    </row>
    <row r="43" spans="2:16" x14ac:dyDescent="0.2">
      <c r="B43" s="44" t="s">
        <v>51</v>
      </c>
      <c r="C43" s="45">
        <f>SUMIF('Entrada TD'!$E$8:$E$43,'Reliquidación TD'!$B43,'Entrada TD'!F$8:F$43)</f>
        <v>32785.800000000003</v>
      </c>
      <c r="D43" s="45">
        <f>SUMIF('Entrada TD'!$E$8:$E$43,'Reliquidación TD'!$B43,'Entrada TD'!G$8:G$43)</f>
        <v>63849.399999999987</v>
      </c>
      <c r="E43" s="45">
        <f>SUMIF('Entrada TD'!$E$8:$E$43,'Reliquidación TD'!$B43,'Entrada TD'!H$8:H$43)</f>
        <v>0</v>
      </c>
      <c r="F43" s="45">
        <f>SUMIF('Entrada TD'!$E$8:$E$43,'Reliquidación TD'!$B43,'Entrada TD'!I$8:I$43)</f>
        <v>0</v>
      </c>
      <c r="G43" s="45">
        <f>SUMIF('Entrada TD'!$E$8:$E$43,'Reliquidación TD'!$B43,'Entrada TD'!J$8:J$43)</f>
        <v>0</v>
      </c>
      <c r="H43" s="45">
        <v>0</v>
      </c>
      <c r="I43" s="45">
        <f t="shared" si="0"/>
        <v>0</v>
      </c>
      <c r="J43" s="45">
        <v>0</v>
      </c>
      <c r="K43" s="45">
        <f t="shared" si="3"/>
        <v>0</v>
      </c>
      <c r="L43" s="45">
        <f t="shared" si="4"/>
        <v>0</v>
      </c>
      <c r="M43" s="45">
        <f t="shared" si="5"/>
        <v>0</v>
      </c>
      <c r="N43" s="45">
        <f t="shared" si="6"/>
        <v>0</v>
      </c>
      <c r="O43" s="45">
        <f t="shared" si="1"/>
        <v>0</v>
      </c>
      <c r="P43" s="45">
        <f t="shared" si="2"/>
        <v>0</v>
      </c>
    </row>
    <row r="44" spans="2:16" x14ac:dyDescent="0.2">
      <c r="B44" s="46" t="s">
        <v>66</v>
      </c>
      <c r="C44" s="16">
        <f t="shared" ref="C44:P44" si="7">SUM(C9:C43)</f>
        <v>550593057.95993447</v>
      </c>
      <c r="D44" s="47">
        <f t="shared" si="7"/>
        <v>1696300991.8939717</v>
      </c>
      <c r="E44" s="48">
        <f t="shared" si="7"/>
        <v>10893095.265000001</v>
      </c>
      <c r="F44" s="48">
        <f t="shared" si="7"/>
        <v>2094804.5562</v>
      </c>
      <c r="G44" s="48">
        <f t="shared" si="7"/>
        <v>4547454.9413854443</v>
      </c>
      <c r="H44" s="48">
        <f t="shared" si="7"/>
        <v>0</v>
      </c>
      <c r="I44" s="48">
        <f t="shared" si="7"/>
        <v>0</v>
      </c>
      <c r="J44" s="48">
        <f t="shared" si="7"/>
        <v>0</v>
      </c>
      <c r="K44" s="48">
        <f t="shared" si="7"/>
        <v>0</v>
      </c>
      <c r="L44" s="48">
        <f>SUM(L9:L43)</f>
        <v>4547454.9413854443</v>
      </c>
      <c r="M44" s="48">
        <f t="shared" si="7"/>
        <v>61820.244096346069</v>
      </c>
      <c r="N44" s="48">
        <f t="shared" si="7"/>
        <v>4609275.1854817905</v>
      </c>
      <c r="O44" s="49">
        <f t="shared" si="7"/>
        <v>-7.2759576141834259E-12</v>
      </c>
      <c r="P44" s="49">
        <f t="shared" si="7"/>
        <v>4547454.9413854433</v>
      </c>
    </row>
    <row r="45" spans="2:16" x14ac:dyDescent="0.2">
      <c r="B45" s="50"/>
      <c r="C45"/>
      <c r="D45"/>
      <c r="E45"/>
      <c r="F45"/>
      <c r="G45"/>
      <c r="H45"/>
      <c r="I45"/>
      <c r="J45"/>
      <c r="K45"/>
      <c r="L45"/>
      <c r="M45" s="51"/>
      <c r="N45" s="51"/>
      <c r="O45"/>
    </row>
    <row r="46" spans="2:16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6" x14ac:dyDescent="0.2">
      <c r="B47"/>
      <c r="C47"/>
      <c r="H47" s="52"/>
      <c r="I47" s="17"/>
      <c r="J47" s="17"/>
      <c r="K47" s="17"/>
      <c r="L47" s="17"/>
      <c r="M47" s="7" t="s">
        <v>67</v>
      </c>
      <c r="N47" s="53">
        <f>N44</f>
        <v>4609275.1854817905</v>
      </c>
      <c r="O47"/>
    </row>
    <row r="48" spans="2:16" x14ac:dyDescent="0.2">
      <c r="B48"/>
      <c r="C48"/>
      <c r="H48" s="52"/>
      <c r="I48" s="17"/>
      <c r="J48" s="17"/>
      <c r="K48" s="17"/>
      <c r="L48" s="17"/>
      <c r="M48" s="7" t="s">
        <v>68</v>
      </c>
      <c r="N48" s="53">
        <f>M44</f>
        <v>61820.244096346069</v>
      </c>
      <c r="O48"/>
      <c r="P48" s="54"/>
    </row>
    <row r="49" spans="2:16" x14ac:dyDescent="0.2">
      <c r="B49"/>
      <c r="C49"/>
      <c r="H49" s="52"/>
      <c r="I49"/>
      <c r="J49"/>
      <c r="K49"/>
      <c r="L49"/>
      <c r="M49" s="7" t="s">
        <v>69</v>
      </c>
      <c r="N49" s="53">
        <f>+IF(N48&lt;N47,N48,N47)</f>
        <v>61820.244096346069</v>
      </c>
      <c r="O49"/>
      <c r="P49" s="54"/>
    </row>
    <row r="50" spans="2:16" x14ac:dyDescent="0.2">
      <c r="M50" s="17"/>
      <c r="N50"/>
    </row>
    <row r="51" spans="2:16" x14ac:dyDescent="0.2">
      <c r="D51" s="55"/>
      <c r="G51" s="54"/>
    </row>
    <row r="52" spans="2:16" x14ac:dyDescent="0.2">
      <c r="D52" s="55"/>
    </row>
    <row r="53" spans="2:16" x14ac:dyDescent="0.2">
      <c r="D53" s="55"/>
    </row>
  </sheetData>
  <dataConsolidate/>
  <mergeCells count="15">
    <mergeCell ref="N6:N7"/>
    <mergeCell ref="O6:O7"/>
    <mergeCell ref="P6:P7"/>
    <mergeCell ref="H6:H7"/>
    <mergeCell ref="I6:I7"/>
    <mergeCell ref="J6:J7"/>
    <mergeCell ref="K6:K7"/>
    <mergeCell ref="L6:L7"/>
    <mergeCell ref="M6:M7"/>
    <mergeCell ref="B6:B8"/>
    <mergeCell ref="C6:C7"/>
    <mergeCell ref="D6:D7"/>
    <mergeCell ref="E6:E7"/>
    <mergeCell ref="F6:F7"/>
    <mergeCell ref="G6:G7"/>
  </mergeCells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B9B07-950F-458E-9A26-46D89A040435}">
  <sheetPr codeName="Hoja6">
    <tabColor theme="8" tint="0.59999389629810485"/>
  </sheetPr>
  <dimension ref="B2:S114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6.42578125" style="20" customWidth="1"/>
    <col min="2" max="2" width="22.7109375" style="20" customWidth="1"/>
    <col min="3" max="3" width="11.5703125" style="20" bestFit="1" customWidth="1"/>
    <col min="4" max="4" width="13.140625" style="20" bestFit="1" customWidth="1"/>
    <col min="5" max="5" width="12.140625" style="20" customWidth="1"/>
    <col min="6" max="6" width="12.7109375" style="20" customWidth="1"/>
    <col min="7" max="7" width="13.5703125" style="20" bestFit="1" customWidth="1"/>
    <col min="8" max="8" width="11.5703125" style="20" bestFit="1" customWidth="1"/>
    <col min="9" max="9" width="13.28515625" style="20" customWidth="1"/>
    <col min="10" max="10" width="8" style="20" customWidth="1"/>
    <col min="11" max="11" width="11.140625" style="20" customWidth="1"/>
    <col min="12" max="12" width="16.140625" style="20" customWidth="1"/>
    <col min="13" max="13" width="13.5703125" style="20" bestFit="1" customWidth="1"/>
    <col min="14" max="15" width="13.140625" style="20" bestFit="1" customWidth="1"/>
    <col min="16" max="16" width="16.28515625" style="20" customWidth="1"/>
    <col min="17" max="18" width="13.28515625" style="20" customWidth="1"/>
    <col min="19" max="19" width="14.7109375" style="20" customWidth="1"/>
    <col min="20" max="20" width="16.85546875" style="20" customWidth="1"/>
    <col min="21" max="16384" width="11.42578125" style="20"/>
  </cols>
  <sheetData>
    <row r="2" spans="2:19" x14ac:dyDescent="0.2">
      <c r="B2" s="19" t="s">
        <v>70</v>
      </c>
      <c r="C2" s="19"/>
      <c r="D2" s="19"/>
    </row>
    <row r="3" spans="2:19" x14ac:dyDescent="0.2">
      <c r="B3" s="21">
        <f>FechaFacturacion</f>
        <v>45689</v>
      </c>
      <c r="C3" s="22"/>
      <c r="D3" s="22"/>
      <c r="I3" s="23" t="s">
        <v>57</v>
      </c>
      <c r="J3" s="24"/>
      <c r="K3" s="24"/>
      <c r="L3" s="24"/>
    </row>
    <row r="4" spans="2:19" x14ac:dyDescent="0.2">
      <c r="B4" s="25"/>
      <c r="D4" s="22"/>
      <c r="I4" s="26">
        <f>'Reliquidación TD'!$I$4</f>
        <v>3.9347948285552992E-3</v>
      </c>
      <c r="J4" s="27"/>
      <c r="K4" s="27"/>
      <c r="L4" s="27"/>
      <c r="M4" s="56"/>
    </row>
    <row r="5" spans="2:19" x14ac:dyDescent="0.2">
      <c r="J5" s="57"/>
      <c r="K5" s="57"/>
      <c r="L5" s="57"/>
    </row>
    <row r="6" spans="2:19" ht="12.75" customHeight="1" x14ac:dyDescent="0.2">
      <c r="B6" s="29" t="s">
        <v>6</v>
      </c>
      <c r="C6" s="29" t="s">
        <v>7</v>
      </c>
      <c r="D6" s="29" t="s">
        <v>8</v>
      </c>
      <c r="E6" s="29" t="s">
        <v>9</v>
      </c>
      <c r="F6" s="29" t="s">
        <v>10</v>
      </c>
      <c r="G6" s="29" t="s">
        <v>11</v>
      </c>
      <c r="H6" s="29" t="str">
        <f>"Saldo "&amp;TEXT(B3-1,"mmmmmmmmmm")</f>
        <v>Saldo enero</v>
      </c>
      <c r="I6" s="29" t="s">
        <v>58</v>
      </c>
      <c r="J6" s="29" t="s">
        <v>59</v>
      </c>
      <c r="K6" s="29" t="s">
        <v>60</v>
      </c>
      <c r="L6" s="29" t="str">
        <f>CONCATENATE("Transferencias TD ", TEXT(FechaFacturacion, "mmmm yyyy"))</f>
        <v>Transferencias TD febrero 2025</v>
      </c>
      <c r="M6" s="30" t="s">
        <v>11</v>
      </c>
      <c r="N6" s="29" t="s">
        <v>71</v>
      </c>
      <c r="O6" s="31" t="s">
        <v>72</v>
      </c>
      <c r="P6" s="29" t="s">
        <v>64</v>
      </c>
      <c r="Q6" s="29" t="s">
        <v>65</v>
      </c>
      <c r="R6" s="29" t="s">
        <v>73</v>
      </c>
      <c r="S6" s="29" t="s">
        <v>74</v>
      </c>
    </row>
    <row r="7" spans="2:19" ht="12.75" customHeight="1" x14ac:dyDescent="0.2">
      <c r="B7" s="33"/>
      <c r="C7" s="34"/>
      <c r="D7" s="34"/>
      <c r="E7" s="34"/>
      <c r="F7" s="34"/>
      <c r="G7" s="34"/>
      <c r="H7" s="35"/>
      <c r="I7" s="34"/>
      <c r="J7" s="34"/>
      <c r="K7" s="34"/>
      <c r="L7" s="34"/>
      <c r="M7" s="30"/>
      <c r="N7" s="34"/>
      <c r="O7" s="36"/>
      <c r="P7" s="34"/>
      <c r="Q7" s="34"/>
      <c r="R7" s="34"/>
      <c r="S7" s="34"/>
    </row>
    <row r="8" spans="2:19" ht="13.5" customHeight="1" x14ac:dyDescent="0.2">
      <c r="B8" s="33"/>
      <c r="C8" s="37" t="s">
        <v>12</v>
      </c>
      <c r="D8" s="37" t="s">
        <v>12</v>
      </c>
      <c r="E8" s="37" t="s">
        <v>12</v>
      </c>
      <c r="F8" s="37" t="s">
        <v>12</v>
      </c>
      <c r="G8" s="37" t="s">
        <v>13</v>
      </c>
      <c r="H8" s="37" t="s">
        <v>13</v>
      </c>
      <c r="I8" s="37" t="s">
        <v>13</v>
      </c>
      <c r="J8" s="37" t="s">
        <v>13</v>
      </c>
      <c r="K8" s="37" t="s">
        <v>13</v>
      </c>
      <c r="L8" s="37" t="s">
        <v>13</v>
      </c>
      <c r="M8" s="37" t="s">
        <v>13</v>
      </c>
      <c r="N8" s="37" t="s">
        <v>13</v>
      </c>
      <c r="O8" s="38" t="s">
        <v>13</v>
      </c>
      <c r="P8" s="39" t="s">
        <v>13</v>
      </c>
      <c r="Q8" s="39" t="s">
        <v>13</v>
      </c>
      <c r="R8" s="39" t="s">
        <v>13</v>
      </c>
      <c r="S8" s="39" t="s">
        <v>13</v>
      </c>
    </row>
    <row r="9" spans="2:19" x14ac:dyDescent="0.2">
      <c r="B9" s="40" t="s">
        <v>14</v>
      </c>
      <c r="C9" s="41">
        <f>SUMIF('Entrada AR'!$E$8:$E$43,'Reliquidación AR'!$B9,'Entrada AR'!F$8:F$43)</f>
        <v>5858488</v>
      </c>
      <c r="D9" s="41">
        <f>SUMIF('Entrada AR'!$E$8:$E$43,'Reliquidación AR'!$B9,'Entrada AR'!G$8:G$43)</f>
        <v>3604124</v>
      </c>
      <c r="E9" s="41">
        <f>SUMIF('Entrada AR'!$E$8:$E$43,'Reliquidación AR'!$B9,'Entrada AR'!H$8:H$43)</f>
        <v>182555</v>
      </c>
      <c r="F9" s="41">
        <f>SUMIF('Entrada AR'!$E$8:$E$43,'Reliquidación AR'!$B9,'Entrada AR'!I$8:I$43)</f>
        <v>50278</v>
      </c>
      <c r="G9" s="41">
        <f>SUMIF('Entrada AR'!$E$8:$E$43,'Reliquidación AR'!$B9,'Entrada AR'!J$8:J$43)</f>
        <v>-41839062.58368247</v>
      </c>
      <c r="H9" s="41">
        <v>0</v>
      </c>
      <c r="I9" s="41">
        <f>H9*($I$4+1)</f>
        <v>0</v>
      </c>
      <c r="J9" s="41">
        <v>0</v>
      </c>
      <c r="K9" s="41">
        <f>+J9*($I$4+1)</f>
        <v>0</v>
      </c>
      <c r="L9" s="41">
        <f>+'Reliquidación TD'!O9</f>
        <v>0</v>
      </c>
      <c r="M9" s="41">
        <f t="shared" ref="M9:M43" si="0">G9+I9+K9</f>
        <v>-41839062.58368247</v>
      </c>
      <c r="N9" s="41">
        <f>IF(M9&lt;0,-M9,0)</f>
        <v>41839062.58368247</v>
      </c>
      <c r="O9" s="41">
        <f>IF(M9&gt;0,M9,0)</f>
        <v>0</v>
      </c>
      <c r="P9" s="41">
        <f t="shared" ref="P9:P42" si="1">IF(OR($N$44=0,$O$44=0),0,(N9/$N$44-O9/$O$44)*$O$49)</f>
        <v>41839062.58368247</v>
      </c>
      <c r="Q9" s="41">
        <f>M9+P9</f>
        <v>0</v>
      </c>
      <c r="R9" s="41">
        <v>0</v>
      </c>
      <c r="S9" s="41">
        <f>+Q9+R9</f>
        <v>0</v>
      </c>
    </row>
    <row r="10" spans="2:19" x14ac:dyDescent="0.2">
      <c r="B10" s="42" t="s">
        <v>15</v>
      </c>
      <c r="C10" s="43">
        <f>SUMIF('Entrada AR'!$E$8:$E$43,'Reliquidación AR'!$B10,'Entrada AR'!F$8:F$43)</f>
        <v>1351299</v>
      </c>
      <c r="D10" s="43">
        <f>SUMIF('Entrada AR'!$E$8:$E$43,'Reliquidación AR'!$B10,'Entrada AR'!G$8:G$43)</f>
        <v>4568128</v>
      </c>
      <c r="E10" s="43">
        <f>SUMIF('Entrada AR'!$E$8:$E$43,'Reliquidación AR'!$B10,'Entrada AR'!H$8:H$43)</f>
        <v>2684</v>
      </c>
      <c r="F10" s="43">
        <f>SUMIF('Entrada AR'!$E$8:$E$43,'Reliquidación AR'!$B10,'Entrada AR'!I$8:I$43)</f>
        <v>40256</v>
      </c>
      <c r="G10" s="43">
        <f>SUMIF('Entrada AR'!$E$8:$E$43,'Reliquidación AR'!$B10,'Entrada AR'!J$8:J$43)</f>
        <v>-38050656.1264368</v>
      </c>
      <c r="H10" s="43">
        <v>0</v>
      </c>
      <c r="I10" s="43">
        <f t="shared" ref="I10:I40" si="2">H10*($I$4+1)</f>
        <v>0</v>
      </c>
      <c r="J10" s="43">
        <v>0</v>
      </c>
      <c r="K10" s="43">
        <f t="shared" ref="K10:K43" si="3">+J10*($I$4+1)</f>
        <v>0</v>
      </c>
      <c r="L10" s="43">
        <f>+'Reliquidación TD'!O10</f>
        <v>0</v>
      </c>
      <c r="M10" s="43">
        <f t="shared" si="0"/>
        <v>-38050656.1264368</v>
      </c>
      <c r="N10" s="43">
        <f t="shared" ref="N10:N43" si="4">IF(M10&lt;0,-M10,0)</f>
        <v>38050656.1264368</v>
      </c>
      <c r="O10" s="43">
        <f t="shared" ref="O10:O43" si="5">IF(M10&gt;0,M10,0)</f>
        <v>0</v>
      </c>
      <c r="P10" s="43">
        <f t="shared" si="1"/>
        <v>38050656.1264368</v>
      </c>
      <c r="Q10" s="43">
        <f t="shared" ref="Q10:Q43" si="6">M10+P10</f>
        <v>0</v>
      </c>
      <c r="R10" s="43">
        <v>0</v>
      </c>
      <c r="S10" s="43">
        <f t="shared" ref="S10:S43" si="7">+Q10+R10</f>
        <v>0</v>
      </c>
    </row>
    <row r="11" spans="2:19" x14ac:dyDescent="0.2">
      <c r="B11" s="42" t="s">
        <v>16</v>
      </c>
      <c r="C11" s="43">
        <f>SUMIF('Entrada AR'!$E$8:$E$43,'Reliquidación AR'!$B11,'Entrada AR'!F$8:F$43)</f>
        <v>3609797</v>
      </c>
      <c r="D11" s="43">
        <f>SUMIF('Entrada AR'!$E$8:$E$43,'Reliquidación AR'!$B11,'Entrada AR'!G$8:G$43)</f>
        <v>13736630.449999999</v>
      </c>
      <c r="E11" s="43">
        <f>SUMIF('Entrada AR'!$E$8:$E$43,'Reliquidación AR'!$B11,'Entrada AR'!H$8:H$43)</f>
        <v>0</v>
      </c>
      <c r="F11" s="43">
        <f>SUMIF('Entrada AR'!$E$8:$E$43,'Reliquidación AR'!$B11,'Entrada AR'!I$8:I$43)</f>
        <v>32662</v>
      </c>
      <c r="G11" s="43">
        <f>SUMIF('Entrada AR'!$E$8:$E$43,'Reliquidación AR'!$B11,'Entrada AR'!J$8:J$43)</f>
        <v>2673920.9788032528</v>
      </c>
      <c r="H11" s="43">
        <v>3810013.6178001128</v>
      </c>
      <c r="I11" s="43">
        <f t="shared" si="2"/>
        <v>3825005.239680158</v>
      </c>
      <c r="J11" s="43">
        <v>0</v>
      </c>
      <c r="K11" s="43">
        <f t="shared" si="3"/>
        <v>0</v>
      </c>
      <c r="L11" s="43">
        <f>+'Reliquidación TD'!O11</f>
        <v>0</v>
      </c>
      <c r="M11" s="43">
        <f t="shared" si="0"/>
        <v>6498926.2184834108</v>
      </c>
      <c r="N11" s="43">
        <f t="shared" si="4"/>
        <v>0</v>
      </c>
      <c r="O11" s="43">
        <f t="shared" si="5"/>
        <v>6498926.2184834108</v>
      </c>
      <c r="P11" s="43">
        <f t="shared" si="1"/>
        <v>-2490653.0802061483</v>
      </c>
      <c r="Q11" s="43">
        <f t="shared" si="6"/>
        <v>4008273.1382772624</v>
      </c>
      <c r="R11" s="43">
        <v>0</v>
      </c>
      <c r="S11" s="43">
        <f t="shared" si="7"/>
        <v>4008273.1382772624</v>
      </c>
    </row>
    <row r="12" spans="2:19" x14ac:dyDescent="0.2">
      <c r="B12" s="42" t="s">
        <v>17</v>
      </c>
      <c r="C12" s="43">
        <f>SUMIF('Entrada AR'!$E$8:$E$43,'Reliquidación AR'!$B12,'Entrada AR'!F$8:F$43)</f>
        <v>497568</v>
      </c>
      <c r="D12" s="43">
        <f>SUMIF('Entrada AR'!$E$8:$E$43,'Reliquidación AR'!$B12,'Entrada AR'!G$8:G$43)</f>
        <v>1473676</v>
      </c>
      <c r="E12" s="43">
        <f>SUMIF('Entrada AR'!$E$8:$E$43,'Reliquidación AR'!$B12,'Entrada AR'!H$8:H$43)</f>
        <v>0</v>
      </c>
      <c r="F12" s="43">
        <f>SUMIF('Entrada AR'!$E$8:$E$43,'Reliquidación AR'!$B12,'Entrada AR'!I$8:I$43)</f>
        <v>0</v>
      </c>
      <c r="G12" s="43">
        <f>SUMIF('Entrada AR'!$E$8:$E$43,'Reliquidación AR'!$B12,'Entrada AR'!J$8:J$43)</f>
        <v>-1053640.0816964631</v>
      </c>
      <c r="H12" s="43">
        <v>235801.15651769855</v>
      </c>
      <c r="I12" s="43">
        <f t="shared" si="2"/>
        <v>236728.98568893175</v>
      </c>
      <c r="J12" s="43">
        <v>0</v>
      </c>
      <c r="K12" s="43">
        <f t="shared" si="3"/>
        <v>0</v>
      </c>
      <c r="L12" s="43">
        <f>+'Reliquidación TD'!O12</f>
        <v>0</v>
      </c>
      <c r="M12" s="43">
        <f t="shared" si="0"/>
        <v>-816911.09600753128</v>
      </c>
      <c r="N12" s="43">
        <f t="shared" si="4"/>
        <v>816911.09600753128</v>
      </c>
      <c r="O12" s="43">
        <f t="shared" si="5"/>
        <v>0</v>
      </c>
      <c r="P12" s="43">
        <f t="shared" si="1"/>
        <v>816911.09600753128</v>
      </c>
      <c r="Q12" s="43">
        <f t="shared" si="6"/>
        <v>0</v>
      </c>
      <c r="R12" s="43">
        <v>0</v>
      </c>
      <c r="S12" s="43">
        <f t="shared" si="7"/>
        <v>0</v>
      </c>
    </row>
    <row r="13" spans="2:19" x14ac:dyDescent="0.2">
      <c r="B13" s="42" t="s">
        <v>18</v>
      </c>
      <c r="C13" s="43">
        <f>SUMIF('Entrada AR'!$E$8:$E$43,'Reliquidación AR'!$B13,'Entrada AR'!F$8:F$43)</f>
        <v>179075049.39700001</v>
      </c>
      <c r="D13" s="43">
        <f>SUMIF('Entrada AR'!$E$8:$E$43,'Reliquidación AR'!$B13,'Entrada AR'!G$8:G$43)</f>
        <v>449687404.71100003</v>
      </c>
      <c r="E13" s="43">
        <f>SUMIF('Entrada AR'!$E$8:$E$43,'Reliquidación AR'!$B13,'Entrada AR'!H$8:H$43)</f>
        <v>2809205.594</v>
      </c>
      <c r="F13" s="43">
        <f>SUMIF('Entrada AR'!$E$8:$E$43,'Reliquidación AR'!$B13,'Entrada AR'!I$8:I$43)</f>
        <v>-2192337.3640000001</v>
      </c>
      <c r="G13" s="43">
        <f>SUMIF('Entrada AR'!$E$8:$E$43,'Reliquidación AR'!$B13,'Entrada AR'!J$8:J$43)</f>
        <v>-41583747.589275807</v>
      </c>
      <c r="H13" s="43">
        <v>0</v>
      </c>
      <c r="I13" s="43">
        <f t="shared" si="2"/>
        <v>0</v>
      </c>
      <c r="J13" s="43">
        <v>0</v>
      </c>
      <c r="K13" s="43">
        <f t="shared" si="3"/>
        <v>0</v>
      </c>
      <c r="L13" s="43">
        <f>+'Reliquidación TD'!O13</f>
        <v>-10849.653143003979</v>
      </c>
      <c r="M13" s="43">
        <f t="shared" si="0"/>
        <v>-41583747.589275807</v>
      </c>
      <c r="N13" s="43">
        <f t="shared" si="4"/>
        <v>41583747.589275807</v>
      </c>
      <c r="O13" s="43">
        <f t="shared" si="5"/>
        <v>0</v>
      </c>
      <c r="P13" s="43">
        <f t="shared" si="1"/>
        <v>41583747.589275807</v>
      </c>
      <c r="Q13" s="43">
        <f t="shared" si="6"/>
        <v>0</v>
      </c>
      <c r="R13" s="43">
        <v>0</v>
      </c>
      <c r="S13" s="43">
        <f t="shared" si="7"/>
        <v>0</v>
      </c>
    </row>
    <row r="14" spans="2:19" x14ac:dyDescent="0.2">
      <c r="B14" s="42" t="s">
        <v>20</v>
      </c>
      <c r="C14" s="43">
        <f>SUMIF('Entrada AR'!$E$8:$E$43,'Reliquidación AR'!$B14,'Entrada AR'!F$8:F$43)</f>
        <v>73958.002999999997</v>
      </c>
      <c r="D14" s="43">
        <f>SUMIF('Entrada AR'!$E$8:$E$43,'Reliquidación AR'!$B14,'Entrada AR'!G$8:G$43)</f>
        <v>1001024.439</v>
      </c>
      <c r="E14" s="43">
        <f>SUMIF('Entrada AR'!$E$8:$E$43,'Reliquidación AR'!$B14,'Entrada AR'!H$8:H$43)</f>
        <v>0</v>
      </c>
      <c r="F14" s="43">
        <f>SUMIF('Entrada AR'!$E$8:$E$43,'Reliquidación AR'!$B14,'Entrada AR'!I$8:I$43)</f>
        <v>0</v>
      </c>
      <c r="G14" s="43">
        <f>SUMIF('Entrada AR'!$E$8:$E$43,'Reliquidación AR'!$B14,'Entrada AR'!J$8:J$43)</f>
        <v>206179.70612315621</v>
      </c>
      <c r="H14" s="43">
        <v>183046.23573214875</v>
      </c>
      <c r="I14" s="43">
        <f>H14*($I$4+1)</f>
        <v>183766.48511389413</v>
      </c>
      <c r="J14" s="43">
        <v>0</v>
      </c>
      <c r="K14" s="43">
        <f t="shared" si="3"/>
        <v>0</v>
      </c>
      <c r="L14" s="43">
        <f>+'Reliquidación TD'!O14</f>
        <v>0</v>
      </c>
      <c r="M14" s="43">
        <f t="shared" si="0"/>
        <v>389946.19123705034</v>
      </c>
      <c r="N14" s="43">
        <f t="shared" si="4"/>
        <v>0</v>
      </c>
      <c r="O14" s="43">
        <f t="shared" si="5"/>
        <v>389946.19123705034</v>
      </c>
      <c r="P14" s="43">
        <f t="shared" si="1"/>
        <v>-149443.25411127057</v>
      </c>
      <c r="Q14" s="43">
        <f t="shared" si="6"/>
        <v>240502.93712577978</v>
      </c>
      <c r="R14" s="43">
        <v>0</v>
      </c>
      <c r="S14" s="43">
        <f t="shared" si="7"/>
        <v>240502.93712577978</v>
      </c>
    </row>
    <row r="15" spans="2:19" x14ac:dyDescent="0.2">
      <c r="B15" s="42" t="s">
        <v>21</v>
      </c>
      <c r="C15" s="43">
        <f>SUMIF('Entrada AR'!$E$8:$E$43,'Reliquidación AR'!$B15,'Entrada AR'!F$8:F$43)</f>
        <v>12259688.81893453</v>
      </c>
      <c r="D15" s="43">
        <f>SUMIF('Entrada AR'!$E$8:$E$43,'Reliquidación AR'!$B15,'Entrada AR'!G$8:G$43)</f>
        <v>19502529.916000001</v>
      </c>
      <c r="E15" s="43">
        <f>SUMIF('Entrada AR'!$E$8:$E$43,'Reliquidación AR'!$B15,'Entrada AR'!H$8:H$43)</f>
        <v>296192.02</v>
      </c>
      <c r="F15" s="43">
        <f>SUMIF('Entrada AR'!$E$8:$E$43,'Reliquidación AR'!$B15,'Entrada AR'!I$8:I$43)</f>
        <v>56319.735999999997</v>
      </c>
      <c r="G15" s="43">
        <f>SUMIF('Entrada AR'!$E$8:$E$43,'Reliquidación AR'!$B15,'Entrada AR'!J$8:J$43)</f>
        <v>-1959737.3620015059</v>
      </c>
      <c r="H15" s="43">
        <v>0</v>
      </c>
      <c r="I15" s="43">
        <f t="shared" si="2"/>
        <v>0</v>
      </c>
      <c r="J15" s="43">
        <v>0</v>
      </c>
      <c r="K15" s="43">
        <f t="shared" si="3"/>
        <v>0</v>
      </c>
      <c r="L15" s="43">
        <f>+'Reliquidación TD'!O15</f>
        <v>-112.27129639627638</v>
      </c>
      <c r="M15" s="43">
        <f t="shared" si="0"/>
        <v>-1959737.3620015059</v>
      </c>
      <c r="N15" s="43">
        <f t="shared" si="4"/>
        <v>1959737.3620015059</v>
      </c>
      <c r="O15" s="43">
        <f t="shared" si="5"/>
        <v>0</v>
      </c>
      <c r="P15" s="43">
        <f t="shared" si="1"/>
        <v>1959737.3620015059</v>
      </c>
      <c r="Q15" s="43">
        <f t="shared" si="6"/>
        <v>0</v>
      </c>
      <c r="R15" s="43">
        <v>0</v>
      </c>
      <c r="S15" s="43">
        <f t="shared" si="7"/>
        <v>0</v>
      </c>
    </row>
    <row r="16" spans="2:19" x14ac:dyDescent="0.2">
      <c r="B16" s="42" t="s">
        <v>22</v>
      </c>
      <c r="C16" s="43">
        <f>SUMIF('Entrada AR'!$E$8:$E$43,'Reliquidación AR'!$B16,'Entrada AR'!F$8:F$43)</f>
        <v>0</v>
      </c>
      <c r="D16" s="43">
        <f>SUMIF('Entrada AR'!$E$8:$E$43,'Reliquidación AR'!$B16,'Entrada AR'!G$8:G$43)</f>
        <v>0</v>
      </c>
      <c r="E16" s="43">
        <f>SUMIF('Entrada AR'!$E$8:$E$43,'Reliquidación AR'!$B16,'Entrada AR'!H$8:H$43)</f>
        <v>0</v>
      </c>
      <c r="F16" s="43">
        <f>SUMIF('Entrada AR'!$E$8:$E$43,'Reliquidación AR'!$B16,'Entrada AR'!I$8:I$43)</f>
        <v>0</v>
      </c>
      <c r="G16" s="43">
        <f>SUMIF('Entrada AR'!$E$8:$E$43,'Reliquidación AR'!$B16,'Entrada AR'!J$8:J$43)</f>
        <v>0</v>
      </c>
      <c r="H16" s="43">
        <v>0</v>
      </c>
      <c r="I16" s="43">
        <f t="shared" si="2"/>
        <v>0</v>
      </c>
      <c r="J16" s="43">
        <v>0</v>
      </c>
      <c r="K16" s="43">
        <f t="shared" si="3"/>
        <v>0</v>
      </c>
      <c r="L16" s="43">
        <f>+'Reliquidación TD'!O16</f>
        <v>0</v>
      </c>
      <c r="M16" s="43">
        <f t="shared" si="0"/>
        <v>0</v>
      </c>
      <c r="N16" s="43">
        <f t="shared" si="4"/>
        <v>0</v>
      </c>
      <c r="O16" s="43">
        <f t="shared" si="5"/>
        <v>0</v>
      </c>
      <c r="P16" s="43">
        <f t="shared" si="1"/>
        <v>0</v>
      </c>
      <c r="Q16" s="43">
        <f t="shared" si="6"/>
        <v>0</v>
      </c>
      <c r="R16" s="43">
        <v>0</v>
      </c>
      <c r="S16" s="43">
        <f t="shared" si="7"/>
        <v>0</v>
      </c>
    </row>
    <row r="17" spans="2:19" x14ac:dyDescent="0.2">
      <c r="B17" s="42" t="s">
        <v>23</v>
      </c>
      <c r="C17" s="43">
        <f>SUMIF('Entrada AR'!$E$8:$E$43,'Reliquidación AR'!$B17,'Entrada AR'!F$8:F$43)</f>
        <v>0</v>
      </c>
      <c r="D17" s="43">
        <f>SUMIF('Entrada AR'!$E$8:$E$43,'Reliquidación AR'!$B17,'Entrada AR'!G$8:G$43)</f>
        <v>0</v>
      </c>
      <c r="E17" s="43">
        <f>SUMIF('Entrada AR'!$E$8:$E$43,'Reliquidación AR'!$B17,'Entrada AR'!H$8:H$43)</f>
        <v>0</v>
      </c>
      <c r="F17" s="43">
        <f>SUMIF('Entrada AR'!$E$8:$E$43,'Reliquidación AR'!$B17,'Entrada AR'!I$8:I$43)</f>
        <v>0</v>
      </c>
      <c r="G17" s="43">
        <f>SUMIF('Entrada AR'!$E$8:$E$43,'Reliquidación AR'!$B17,'Entrada AR'!J$8:J$43)</f>
        <v>0</v>
      </c>
      <c r="H17" s="43">
        <v>0</v>
      </c>
      <c r="I17" s="43">
        <f t="shared" si="2"/>
        <v>0</v>
      </c>
      <c r="J17" s="43">
        <v>0</v>
      </c>
      <c r="K17" s="43">
        <f t="shared" si="3"/>
        <v>0</v>
      </c>
      <c r="L17" s="43">
        <f>+'Reliquidación TD'!O17</f>
        <v>0</v>
      </c>
      <c r="M17" s="43">
        <f t="shared" si="0"/>
        <v>0</v>
      </c>
      <c r="N17" s="43">
        <f t="shared" si="4"/>
        <v>0</v>
      </c>
      <c r="O17" s="43">
        <f t="shared" si="5"/>
        <v>0</v>
      </c>
      <c r="P17" s="43">
        <f t="shared" si="1"/>
        <v>0</v>
      </c>
      <c r="Q17" s="43">
        <f t="shared" si="6"/>
        <v>0</v>
      </c>
      <c r="R17" s="43">
        <v>0</v>
      </c>
      <c r="S17" s="43">
        <f t="shared" si="7"/>
        <v>0</v>
      </c>
    </row>
    <row r="18" spans="2:19" x14ac:dyDescent="0.2">
      <c r="B18" s="42" t="s">
        <v>24</v>
      </c>
      <c r="C18" s="43">
        <f>SUMIF('Entrada AR'!$E$8:$E$43,'Reliquidación AR'!$B18,'Entrada AR'!F$8:F$43)+SUMIF('Entrada AR'!$E$8:$E$43,"LUZ ANDES",'Entrada AR'!F$8:F$43)</f>
        <v>126683080.45100001</v>
      </c>
      <c r="D18" s="43">
        <f>SUMIF('Entrada AR'!$E$8:$E$43,'Reliquidación AR'!$B18,'Entrada AR'!G$8:G$43)+SUMIF('Entrada AR'!$E$8:$E$43,"LUZ ANDES",'Entrada AR'!G$8:G$43)</f>
        <v>653485642.92536199</v>
      </c>
      <c r="E18" s="43">
        <f>SUMIF('Entrada AR'!$E$8:$E$43,'Reliquidación AR'!$B18,'Entrada AR'!H$8:H$43)+SUMIF('Entrada AR'!$E$8:$E$43,"LUZ ANDES",'Entrada AR'!H$8:H$43)</f>
        <v>1363727.5</v>
      </c>
      <c r="F18" s="43">
        <f>SUMIF('Entrada AR'!$E$8:$E$43,'Reliquidación AR'!$B18,'Entrada AR'!I$8:I$43)+SUMIF('Entrada AR'!$E$8:$E$43,"LUZ ANDES",'Entrada AR'!I$8:I$43)</f>
        <v>1685071.2050000001</v>
      </c>
      <c r="G18" s="43">
        <f>SUMIF('Entrada AR'!$E$8:$E$43,'Reliquidación AR'!$B18,'Entrada AR'!J$8:J$43)+SUMIF('Entrada AR'!$E$8:$E$43,"LUZ ANDES",'Entrada AR'!J$8:J$43)</f>
        <v>261070814.20686841</v>
      </c>
      <c r="H18" s="43">
        <v>178489502.73802829</v>
      </c>
      <c r="I18" s="43">
        <f t="shared" si="2"/>
        <v>179191822.31035328</v>
      </c>
      <c r="J18" s="43">
        <v>0</v>
      </c>
      <c r="K18" s="43">
        <f t="shared" si="3"/>
        <v>0</v>
      </c>
      <c r="L18" s="43">
        <f>+'Reliquidación TD'!O18</f>
        <v>-49547.482561008117</v>
      </c>
      <c r="M18" s="43">
        <f t="shared" si="0"/>
        <v>440262636.51722169</v>
      </c>
      <c r="N18" s="43">
        <f t="shared" si="4"/>
        <v>0</v>
      </c>
      <c r="O18" s="43">
        <f t="shared" si="5"/>
        <v>440262636.51722169</v>
      </c>
      <c r="P18" s="43">
        <f t="shared" si="1"/>
        <v>-168726564.18573508</v>
      </c>
      <c r="Q18" s="43">
        <f t="shared" si="6"/>
        <v>271536072.33148658</v>
      </c>
      <c r="R18" s="43">
        <v>0</v>
      </c>
      <c r="S18" s="43">
        <f t="shared" si="7"/>
        <v>271536072.33148658</v>
      </c>
    </row>
    <row r="19" spans="2:19" x14ac:dyDescent="0.2">
      <c r="B19" s="42" t="s">
        <v>26</v>
      </c>
      <c r="C19" s="43">
        <f>SUMIF('Entrada AR'!$E$8:$E$43,'Reliquidación AR'!$B19,'Entrada AR'!F$8:F$43)</f>
        <v>37453496.123000003</v>
      </c>
      <c r="D19" s="43">
        <f>SUMIF('Entrada AR'!$E$8:$E$43,'Reliquidación AR'!$B19,'Entrada AR'!G$8:G$43)</f>
        <v>71144273.245000005</v>
      </c>
      <c r="E19" s="43">
        <f>SUMIF('Entrada AR'!$E$8:$E$43,'Reliquidación AR'!$B19,'Entrada AR'!H$8:H$43)</f>
        <v>780328.14</v>
      </c>
      <c r="F19" s="43">
        <f>SUMIF('Entrada AR'!$E$8:$E$43,'Reliquidación AR'!$B19,'Entrada AR'!I$8:I$43)</f>
        <v>210386.84599999999</v>
      </c>
      <c r="G19" s="43">
        <f>SUMIF('Entrada AR'!$E$8:$E$43,'Reliquidación AR'!$B19,'Entrada AR'!J$8:J$43)</f>
        <v>-13021314.578638099</v>
      </c>
      <c r="H19" s="43">
        <v>0</v>
      </c>
      <c r="I19" s="43">
        <f t="shared" si="2"/>
        <v>0</v>
      </c>
      <c r="J19" s="43">
        <v>0</v>
      </c>
      <c r="K19" s="43">
        <f t="shared" si="3"/>
        <v>0</v>
      </c>
      <c r="L19" s="43">
        <f>+'Reliquidación TD'!O19</f>
        <v>13262.69136286609</v>
      </c>
      <c r="M19" s="43">
        <f t="shared" si="0"/>
        <v>-13021314.578638099</v>
      </c>
      <c r="N19" s="43">
        <f t="shared" si="4"/>
        <v>13021314.578638099</v>
      </c>
      <c r="O19" s="43">
        <f t="shared" si="5"/>
        <v>0</v>
      </c>
      <c r="P19" s="43">
        <f t="shared" si="1"/>
        <v>13021314.578638099</v>
      </c>
      <c r="Q19" s="43">
        <f t="shared" si="6"/>
        <v>0</v>
      </c>
      <c r="R19" s="43">
        <v>0</v>
      </c>
      <c r="S19" s="43">
        <f t="shared" si="7"/>
        <v>0</v>
      </c>
    </row>
    <row r="20" spans="2:19" x14ac:dyDescent="0.2">
      <c r="B20" s="42" t="s">
        <v>27</v>
      </c>
      <c r="C20" s="43">
        <f>SUMIF('Entrada AR'!$E$8:$E$43,'Reliquidación AR'!$B20,'Entrada AR'!F$8:F$43)</f>
        <v>2055527.727</v>
      </c>
      <c r="D20" s="43">
        <f>SUMIF('Entrada AR'!$E$8:$E$43,'Reliquidación AR'!$B20,'Entrada AR'!G$8:G$43)</f>
        <v>17009823.287999999</v>
      </c>
      <c r="E20" s="43">
        <f>SUMIF('Entrada AR'!$E$8:$E$43,'Reliquidación AR'!$B20,'Entrada AR'!H$8:H$43)</f>
        <v>0</v>
      </c>
      <c r="F20" s="43">
        <f>SUMIF('Entrada AR'!$E$8:$E$43,'Reliquidación AR'!$B20,'Entrada AR'!I$8:I$43)</f>
        <v>27099.214</v>
      </c>
      <c r="G20" s="43">
        <f>SUMIF('Entrada AR'!$E$8:$E$43,'Reliquidación AR'!$B20,'Entrada AR'!J$8:J$43)</f>
        <v>-1034863.177458393</v>
      </c>
      <c r="H20" s="43">
        <v>0</v>
      </c>
      <c r="I20" s="43">
        <f t="shared" si="2"/>
        <v>0</v>
      </c>
      <c r="J20" s="43">
        <v>0</v>
      </c>
      <c r="K20" s="43">
        <f t="shared" si="3"/>
        <v>0</v>
      </c>
      <c r="L20" s="43">
        <f>+'Reliquidación TD'!O20</f>
        <v>11241.425816785089</v>
      </c>
      <c r="M20" s="43">
        <f t="shared" si="0"/>
        <v>-1034863.177458393</v>
      </c>
      <c r="N20" s="43">
        <f t="shared" si="4"/>
        <v>1034863.177458393</v>
      </c>
      <c r="O20" s="43">
        <f t="shared" si="5"/>
        <v>0</v>
      </c>
      <c r="P20" s="43">
        <f t="shared" si="1"/>
        <v>1034863.1774583932</v>
      </c>
      <c r="Q20" s="43">
        <f t="shared" si="6"/>
        <v>0</v>
      </c>
      <c r="R20" s="43">
        <v>0</v>
      </c>
      <c r="S20" s="43">
        <f t="shared" si="7"/>
        <v>0</v>
      </c>
    </row>
    <row r="21" spans="2:19" x14ac:dyDescent="0.2">
      <c r="B21" s="42" t="s">
        <v>28</v>
      </c>
      <c r="C21" s="43">
        <f>SUMIF('Entrada AR'!$E$8:$E$43,'Reliquidación AR'!$B21,'Entrada AR'!F$8:F$43)</f>
        <v>0</v>
      </c>
      <c r="D21" s="43">
        <f>SUMIF('Entrada AR'!$E$8:$E$43,'Reliquidación AR'!$B21,'Entrada AR'!G$8:G$43)</f>
        <v>0</v>
      </c>
      <c r="E21" s="43">
        <f>SUMIF('Entrada AR'!$E$8:$E$43,'Reliquidación AR'!$B21,'Entrada AR'!H$8:H$43)</f>
        <v>0</v>
      </c>
      <c r="F21" s="43">
        <f>SUMIF('Entrada AR'!$E$8:$E$43,'Reliquidación AR'!$B21,'Entrada AR'!I$8:I$43)</f>
        <v>0</v>
      </c>
      <c r="G21" s="43">
        <f>SUMIF('Entrada AR'!$E$8:$E$43,'Reliquidación AR'!$B21,'Entrada AR'!J$8:J$43)</f>
        <v>0</v>
      </c>
      <c r="H21" s="43">
        <v>0</v>
      </c>
      <c r="I21" s="43">
        <f t="shared" si="2"/>
        <v>0</v>
      </c>
      <c r="J21" s="43">
        <v>0</v>
      </c>
      <c r="K21" s="43">
        <f t="shared" si="3"/>
        <v>0</v>
      </c>
      <c r="L21" s="43">
        <f>+'Reliquidación TD'!O21</f>
        <v>0</v>
      </c>
      <c r="M21" s="43">
        <f t="shared" si="0"/>
        <v>0</v>
      </c>
      <c r="N21" s="43">
        <f t="shared" si="4"/>
        <v>0</v>
      </c>
      <c r="O21" s="43">
        <f t="shared" si="5"/>
        <v>0</v>
      </c>
      <c r="P21" s="43">
        <f t="shared" si="1"/>
        <v>0</v>
      </c>
      <c r="Q21" s="43">
        <f t="shared" si="6"/>
        <v>0</v>
      </c>
      <c r="R21" s="43">
        <v>0</v>
      </c>
      <c r="S21" s="43">
        <f t="shared" si="7"/>
        <v>0</v>
      </c>
    </row>
    <row r="22" spans="2:19" x14ac:dyDescent="0.2">
      <c r="B22" s="42" t="s">
        <v>29</v>
      </c>
      <c r="C22" s="43">
        <f>SUMIF('Entrada AR'!$E$8:$E$43,'Reliquidación AR'!$B22,'Entrada AR'!F$8:F$43)</f>
        <v>1387239</v>
      </c>
      <c r="D22" s="43">
        <f>SUMIF('Entrada AR'!$E$8:$E$43,'Reliquidación AR'!$B22,'Entrada AR'!G$8:G$43)</f>
        <v>7103391.9000000004</v>
      </c>
      <c r="E22" s="43">
        <f>SUMIF('Entrada AR'!$E$8:$E$43,'Reliquidación AR'!$B22,'Entrada AR'!H$8:H$43)</f>
        <v>378</v>
      </c>
      <c r="F22" s="43">
        <f>SUMIF('Entrada AR'!$E$8:$E$43,'Reliquidación AR'!$B22,'Entrada AR'!I$8:I$43)</f>
        <v>28244</v>
      </c>
      <c r="G22" s="43">
        <f>SUMIF('Entrada AR'!$E$8:$E$43,'Reliquidación AR'!$B22,'Entrada AR'!J$8:J$43)</f>
        <v>-63592505.633892164</v>
      </c>
      <c r="H22" s="43">
        <v>0</v>
      </c>
      <c r="I22" s="43">
        <f t="shared" si="2"/>
        <v>0</v>
      </c>
      <c r="J22" s="43">
        <v>0</v>
      </c>
      <c r="K22" s="43">
        <f t="shared" si="3"/>
        <v>0</v>
      </c>
      <c r="L22" s="43">
        <f>+'Reliquidación TD'!O22</f>
        <v>0</v>
      </c>
      <c r="M22" s="43">
        <f t="shared" si="0"/>
        <v>-63592505.633892164</v>
      </c>
      <c r="N22" s="43">
        <f t="shared" si="4"/>
        <v>63592505.633892164</v>
      </c>
      <c r="O22" s="43">
        <f t="shared" si="5"/>
        <v>0</v>
      </c>
      <c r="P22" s="43">
        <f t="shared" si="1"/>
        <v>63592505.633892164</v>
      </c>
      <c r="Q22" s="43">
        <f t="shared" si="6"/>
        <v>0</v>
      </c>
      <c r="R22" s="43">
        <v>0</v>
      </c>
      <c r="S22" s="43">
        <f t="shared" si="7"/>
        <v>0</v>
      </c>
    </row>
    <row r="23" spans="2:19" x14ac:dyDescent="0.2">
      <c r="B23" s="42" t="s">
        <v>30</v>
      </c>
      <c r="C23" s="43">
        <f>SUMIF('Entrada AR'!$E$8:$E$43,'Reliquidación AR'!$B23,'Entrada AR'!F$8:F$43)</f>
        <v>12579642</v>
      </c>
      <c r="D23" s="43">
        <f>SUMIF('Entrada AR'!$E$8:$E$43,'Reliquidación AR'!$B23,'Entrada AR'!G$8:G$43)</f>
        <v>14055928</v>
      </c>
      <c r="E23" s="43">
        <f>SUMIF('Entrada AR'!$E$8:$E$43,'Reliquidación AR'!$B23,'Entrada AR'!H$8:H$43)</f>
        <v>805237</v>
      </c>
      <c r="F23" s="43">
        <f>SUMIF('Entrada AR'!$E$8:$E$43,'Reliquidación AR'!$B23,'Entrada AR'!I$8:I$43)</f>
        <v>160722</v>
      </c>
      <c r="G23" s="43">
        <f>SUMIF('Entrada AR'!$E$8:$E$43,'Reliquidación AR'!$B23,'Entrada AR'!J$8:J$43)</f>
        <v>5905533.1695578322</v>
      </c>
      <c r="H23" s="43">
        <v>4065314.4632757381</v>
      </c>
      <c r="I23" s="43">
        <f t="shared" si="2"/>
        <v>4081310.6416022866</v>
      </c>
      <c r="J23" s="43">
        <v>0</v>
      </c>
      <c r="K23" s="43">
        <f t="shared" si="3"/>
        <v>0</v>
      </c>
      <c r="L23" s="43">
        <f>+'Reliquidación TD'!O23</f>
        <v>0</v>
      </c>
      <c r="M23" s="43">
        <f t="shared" si="0"/>
        <v>9986843.8111601193</v>
      </c>
      <c r="N23" s="43">
        <f t="shared" si="4"/>
        <v>0</v>
      </c>
      <c r="O23" s="43">
        <f t="shared" si="5"/>
        <v>9986843.8111601193</v>
      </c>
      <c r="P23" s="43">
        <f t="shared" si="1"/>
        <v>-3827365.0851829792</v>
      </c>
      <c r="Q23" s="43">
        <f t="shared" si="6"/>
        <v>6159478.7259771395</v>
      </c>
      <c r="R23" s="43">
        <v>0</v>
      </c>
      <c r="S23" s="43">
        <f t="shared" si="7"/>
        <v>6159478.7259771395</v>
      </c>
    </row>
    <row r="24" spans="2:19" x14ac:dyDescent="0.2">
      <c r="B24" s="42" t="s">
        <v>31</v>
      </c>
      <c r="C24" s="43">
        <f>SUMIF('Entrada AR'!$E$8:$E$43,'Reliquidación AR'!$B24,'Entrada AR'!F$8:F$43)</f>
        <v>1658481</v>
      </c>
      <c r="D24" s="43">
        <f>SUMIF('Entrada AR'!$E$8:$E$43,'Reliquidación AR'!$B24,'Entrada AR'!G$8:G$43)</f>
        <v>13698754</v>
      </c>
      <c r="E24" s="43">
        <f>SUMIF('Entrada AR'!$E$8:$E$43,'Reliquidación AR'!$B24,'Entrada AR'!H$8:H$43)</f>
        <v>1</v>
      </c>
      <c r="F24" s="43">
        <f>SUMIF('Entrada AR'!$E$8:$E$43,'Reliquidación AR'!$B24,'Entrada AR'!I$8:I$43)</f>
        <v>81836</v>
      </c>
      <c r="G24" s="43">
        <f>SUMIF('Entrada AR'!$E$8:$E$43,'Reliquidación AR'!$B24,'Entrada AR'!J$8:J$43)</f>
        <v>1155083.8368319599</v>
      </c>
      <c r="H24" s="43">
        <v>2018857.2209952157</v>
      </c>
      <c r="I24" s="43">
        <f t="shared" si="2"/>
        <v>2026801.0099479791</v>
      </c>
      <c r="J24" s="43">
        <v>0</v>
      </c>
      <c r="K24" s="43">
        <f t="shared" si="3"/>
        <v>0</v>
      </c>
      <c r="L24" s="43">
        <f>+'Reliquidación TD'!O24</f>
        <v>0</v>
      </c>
      <c r="M24" s="43">
        <f t="shared" si="0"/>
        <v>3181884.8467799388</v>
      </c>
      <c r="N24" s="43">
        <f t="shared" si="4"/>
        <v>0</v>
      </c>
      <c r="O24" s="43">
        <f t="shared" si="5"/>
        <v>3181884.8467799388</v>
      </c>
      <c r="P24" s="43">
        <f t="shared" si="1"/>
        <v>-1219427.7990038625</v>
      </c>
      <c r="Q24" s="43">
        <f t="shared" si="6"/>
        <v>1962457.0477760762</v>
      </c>
      <c r="R24" s="43">
        <v>0</v>
      </c>
      <c r="S24" s="43">
        <f t="shared" si="7"/>
        <v>1962457.0477760762</v>
      </c>
    </row>
    <row r="25" spans="2:19" x14ac:dyDescent="0.2">
      <c r="B25" s="42" t="s">
        <v>32</v>
      </c>
      <c r="C25" s="43">
        <f>SUMIF('Entrada AR'!$E$8:$E$43,'Reliquidación AR'!$B25,'Entrada AR'!F$8:F$43)</f>
        <v>784466</v>
      </c>
      <c r="D25" s="43">
        <f>SUMIF('Entrada AR'!$E$8:$E$43,'Reliquidación AR'!$B25,'Entrada AR'!G$8:G$43)</f>
        <v>4993205</v>
      </c>
      <c r="E25" s="43">
        <f>SUMIF('Entrada AR'!$E$8:$E$43,'Reliquidación AR'!$B25,'Entrada AR'!H$8:H$43)</f>
        <v>273368</v>
      </c>
      <c r="F25" s="43">
        <f>SUMIF('Entrada AR'!$E$8:$E$43,'Reliquidación AR'!$B25,'Entrada AR'!I$8:I$43)</f>
        <v>41834</v>
      </c>
      <c r="G25" s="43">
        <f>SUMIF('Entrada AR'!$E$8:$E$43,'Reliquidación AR'!$B25,'Entrada AR'!J$8:J$43)</f>
        <v>-32823643.92444374</v>
      </c>
      <c r="H25" s="43">
        <v>0</v>
      </c>
      <c r="I25" s="43">
        <f t="shared" si="2"/>
        <v>0</v>
      </c>
      <c r="J25" s="43">
        <v>0</v>
      </c>
      <c r="K25" s="43">
        <f t="shared" si="3"/>
        <v>0</v>
      </c>
      <c r="L25" s="43">
        <f>+'Reliquidación TD'!O25</f>
        <v>0</v>
      </c>
      <c r="M25" s="43">
        <f t="shared" si="0"/>
        <v>-32823643.92444374</v>
      </c>
      <c r="N25" s="43">
        <f t="shared" si="4"/>
        <v>32823643.92444374</v>
      </c>
      <c r="O25" s="43">
        <f t="shared" si="5"/>
        <v>0</v>
      </c>
      <c r="P25" s="43">
        <f t="shared" si="1"/>
        <v>32823643.924443737</v>
      </c>
      <c r="Q25" s="43">
        <f t="shared" si="6"/>
        <v>0</v>
      </c>
      <c r="R25" s="43">
        <v>0</v>
      </c>
      <c r="S25" s="43">
        <f t="shared" si="7"/>
        <v>0</v>
      </c>
    </row>
    <row r="26" spans="2:19" x14ac:dyDescent="0.2">
      <c r="B26" s="42" t="s">
        <v>33</v>
      </c>
      <c r="C26" s="43">
        <f>SUMIF('Entrada AR'!$E$8:$E$43,'Reliquidación AR'!$B26,'Entrada AR'!F$8:F$43)</f>
        <v>2279267</v>
      </c>
      <c r="D26" s="43">
        <f>SUMIF('Entrada AR'!$E$8:$E$43,'Reliquidación AR'!$B26,'Entrada AR'!G$8:G$43)</f>
        <v>2372370</v>
      </c>
      <c r="E26" s="43">
        <f>SUMIF('Entrada AR'!$E$8:$E$43,'Reliquidación AR'!$B26,'Entrada AR'!H$8:H$43)</f>
        <v>108079</v>
      </c>
      <c r="F26" s="43">
        <f>SUMIF('Entrada AR'!$E$8:$E$43,'Reliquidación AR'!$B26,'Entrada AR'!I$8:I$43)</f>
        <v>8368</v>
      </c>
      <c r="G26" s="43">
        <f>SUMIF('Entrada AR'!$E$8:$E$43,'Reliquidación AR'!$B26,'Entrada AR'!J$8:J$43)</f>
        <v>-22813831.780191399</v>
      </c>
      <c r="H26" s="43">
        <v>0</v>
      </c>
      <c r="I26" s="43">
        <f t="shared" si="2"/>
        <v>0</v>
      </c>
      <c r="J26" s="43">
        <v>0</v>
      </c>
      <c r="K26" s="43">
        <f t="shared" si="3"/>
        <v>0</v>
      </c>
      <c r="L26" s="43">
        <f>+'Reliquidación TD'!O26</f>
        <v>0</v>
      </c>
      <c r="M26" s="43">
        <f t="shared" si="0"/>
        <v>-22813831.780191399</v>
      </c>
      <c r="N26" s="43">
        <f t="shared" si="4"/>
        <v>22813831.780191399</v>
      </c>
      <c r="O26" s="43">
        <f t="shared" si="5"/>
        <v>0</v>
      </c>
      <c r="P26" s="43">
        <f t="shared" si="1"/>
        <v>22813831.780191399</v>
      </c>
      <c r="Q26" s="43">
        <f t="shared" si="6"/>
        <v>0</v>
      </c>
      <c r="R26" s="43">
        <v>0</v>
      </c>
      <c r="S26" s="43">
        <f t="shared" si="7"/>
        <v>0</v>
      </c>
    </row>
    <row r="27" spans="2:19" x14ac:dyDescent="0.2">
      <c r="B27" s="42" t="s">
        <v>34</v>
      </c>
      <c r="C27" s="43">
        <f>SUMIF('Entrada AR'!$E$8:$E$43,'Reliquidación AR'!$B27,'Entrada AR'!F$8:F$43)</f>
        <v>5547113</v>
      </c>
      <c r="D27" s="43">
        <f>SUMIF('Entrada AR'!$E$8:$E$43,'Reliquidación AR'!$B27,'Entrada AR'!G$8:G$43)</f>
        <v>8393589</v>
      </c>
      <c r="E27" s="43">
        <f>SUMIF('Entrada AR'!$E$8:$E$43,'Reliquidación AR'!$B27,'Entrada AR'!H$8:H$43)</f>
        <v>385170</v>
      </c>
      <c r="F27" s="43">
        <f>SUMIF('Entrada AR'!$E$8:$E$43,'Reliquidación AR'!$B27,'Entrada AR'!I$8:I$43)</f>
        <v>97962</v>
      </c>
      <c r="G27" s="43">
        <f>SUMIF('Entrada AR'!$E$8:$E$43,'Reliquidación AR'!$B27,'Entrada AR'!J$8:J$43)</f>
        <v>1050055.716345788</v>
      </c>
      <c r="H27" s="43">
        <v>3498943.2378406953</v>
      </c>
      <c r="I27" s="43">
        <f t="shared" si="2"/>
        <v>3512710.8615983594</v>
      </c>
      <c r="J27" s="43">
        <v>0</v>
      </c>
      <c r="K27" s="43">
        <f t="shared" si="3"/>
        <v>0</v>
      </c>
      <c r="L27" s="43">
        <f>+'Reliquidación TD'!O27</f>
        <v>0</v>
      </c>
      <c r="M27" s="43">
        <f t="shared" si="0"/>
        <v>4562766.5779441474</v>
      </c>
      <c r="N27" s="43">
        <f t="shared" si="4"/>
        <v>0</v>
      </c>
      <c r="O27" s="43">
        <f t="shared" si="5"/>
        <v>4562766.5779441474</v>
      </c>
      <c r="P27" s="43">
        <f t="shared" si="1"/>
        <v>-1748637.8902560032</v>
      </c>
      <c r="Q27" s="43">
        <f t="shared" si="6"/>
        <v>2814128.6876881439</v>
      </c>
      <c r="R27" s="43">
        <v>0</v>
      </c>
      <c r="S27" s="43">
        <f t="shared" si="7"/>
        <v>2814128.6876881439</v>
      </c>
    </row>
    <row r="28" spans="2:19" x14ac:dyDescent="0.2">
      <c r="B28" s="42" t="s">
        <v>35</v>
      </c>
      <c r="C28" s="43">
        <f>SUMIF('Entrada AR'!$E$8:$E$43,'Reliquidación AR'!$B28,'Entrada AR'!F$8:F$43)</f>
        <v>20343709.010000002</v>
      </c>
      <c r="D28" s="43">
        <f>SUMIF('Entrada AR'!$E$8:$E$43,'Reliquidación AR'!$B28,'Entrada AR'!G$8:G$43)</f>
        <v>59942717.369999997</v>
      </c>
      <c r="E28" s="43">
        <f>SUMIF('Entrada AR'!$E$8:$E$43,'Reliquidación AR'!$B28,'Entrada AR'!H$8:H$43)</f>
        <v>244851.97099999999</v>
      </c>
      <c r="F28" s="43">
        <f>SUMIF('Entrada AR'!$E$8:$E$43,'Reliquidación AR'!$B28,'Entrada AR'!I$8:I$43)</f>
        <v>182729</v>
      </c>
      <c r="G28" s="43">
        <f>SUMIF('Entrada AR'!$E$8:$E$43,'Reliquidación AR'!$B28,'Entrada AR'!J$8:J$43)</f>
        <v>13675629.573104011</v>
      </c>
      <c r="H28" s="43">
        <v>18515986.627521187</v>
      </c>
      <c r="I28" s="43">
        <f t="shared" si="2"/>
        <v>18588843.235948756</v>
      </c>
      <c r="J28" s="43">
        <v>0</v>
      </c>
      <c r="K28" s="43">
        <f t="shared" si="3"/>
        <v>0</v>
      </c>
      <c r="L28" s="43">
        <f>+'Reliquidación TD'!O28</f>
        <v>-159.0652730043353</v>
      </c>
      <c r="M28" s="43">
        <f t="shared" si="0"/>
        <v>32264472.809052765</v>
      </c>
      <c r="N28" s="43">
        <f t="shared" si="4"/>
        <v>0</v>
      </c>
      <c r="O28" s="43">
        <f t="shared" si="5"/>
        <v>32264472.809052765</v>
      </c>
      <c r="P28" s="43">
        <f t="shared" si="1"/>
        <v>-12365059.377739403</v>
      </c>
      <c r="Q28" s="43">
        <f t="shared" si="6"/>
        <v>19899413.431313362</v>
      </c>
      <c r="R28" s="43">
        <v>0</v>
      </c>
      <c r="S28" s="43">
        <f t="shared" si="7"/>
        <v>19899413.431313362</v>
      </c>
    </row>
    <row r="29" spans="2:19" x14ac:dyDescent="0.2">
      <c r="B29" s="42" t="s">
        <v>36</v>
      </c>
      <c r="C29" s="43">
        <f>SUMIF('Entrada AR'!$E$8:$E$43,'Reliquidación AR'!$B29,'Entrada AR'!F$8:F$43)</f>
        <v>7232589.8899999997</v>
      </c>
      <c r="D29" s="43">
        <f>SUMIF('Entrada AR'!$E$8:$E$43,'Reliquidación AR'!$B29,'Entrada AR'!G$8:G$43)</f>
        <v>4284916.54</v>
      </c>
      <c r="E29" s="43">
        <f>SUMIF('Entrada AR'!$E$8:$E$43,'Reliquidación AR'!$B29,'Entrada AR'!H$8:H$43)</f>
        <v>221082.74</v>
      </c>
      <c r="F29" s="43">
        <f>SUMIF('Entrada AR'!$E$8:$E$43,'Reliquidación AR'!$B29,'Entrada AR'!I$8:I$43)</f>
        <v>24298</v>
      </c>
      <c r="G29" s="43">
        <f>SUMIF('Entrada AR'!$E$8:$E$43,'Reliquidación AR'!$B29,'Entrada AR'!J$8:J$43)</f>
        <v>2384982.5017568842</v>
      </c>
      <c r="H29" s="43">
        <v>2442582.6133942157</v>
      </c>
      <c r="I29" s="43">
        <f t="shared" si="2"/>
        <v>2452193.6748297182</v>
      </c>
      <c r="J29" s="43">
        <v>0</v>
      </c>
      <c r="K29" s="43">
        <f t="shared" si="3"/>
        <v>0</v>
      </c>
      <c r="L29" s="43">
        <f>+'Reliquidación TD'!O29</f>
        <v>-5.0944573422180488</v>
      </c>
      <c r="M29" s="43">
        <f t="shared" si="0"/>
        <v>4837176.1765866019</v>
      </c>
      <c r="N29" s="43">
        <f t="shared" si="4"/>
        <v>0</v>
      </c>
      <c r="O29" s="43">
        <f t="shared" si="5"/>
        <v>4837176.1765866019</v>
      </c>
      <c r="P29" s="43">
        <f t="shared" si="1"/>
        <v>-1853802.8189103946</v>
      </c>
      <c r="Q29" s="43">
        <f t="shared" si="6"/>
        <v>2983373.3576762071</v>
      </c>
      <c r="R29" s="43">
        <v>0</v>
      </c>
      <c r="S29" s="43">
        <f t="shared" si="7"/>
        <v>2983373.3576762071</v>
      </c>
    </row>
    <row r="30" spans="2:19" x14ac:dyDescent="0.2">
      <c r="B30" s="42" t="s">
        <v>37</v>
      </c>
      <c r="C30" s="43">
        <f>SUMIF('Entrada AR'!$E$8:$E$43,'Reliquidación AR'!$B30,'Entrada AR'!F$8:F$43)</f>
        <v>37963452.560000002</v>
      </c>
      <c r="D30" s="43">
        <f>SUMIF('Entrada AR'!$E$8:$E$43,'Reliquidación AR'!$B30,'Entrada AR'!G$8:G$43)</f>
        <v>92895852.049999997</v>
      </c>
      <c r="E30" s="43">
        <f>SUMIF('Entrada AR'!$E$8:$E$43,'Reliquidación AR'!$B30,'Entrada AR'!H$8:H$43)</f>
        <v>274390.12</v>
      </c>
      <c r="F30" s="43">
        <f>SUMIF('Entrada AR'!$E$8:$E$43,'Reliquidación AR'!$B30,'Entrada AR'!I$8:I$43)</f>
        <v>269443.40000000002</v>
      </c>
      <c r="G30" s="43">
        <f>SUMIF('Entrada AR'!$E$8:$E$43,'Reliquidación AR'!$B30,'Entrada AR'!J$8:J$43)</f>
        <v>22130109.269522339</v>
      </c>
      <c r="H30" s="43">
        <v>29595282.004797056</v>
      </c>
      <c r="I30" s="43">
        <f t="shared" si="2"/>
        <v>29711733.367379166</v>
      </c>
      <c r="J30" s="43">
        <v>0</v>
      </c>
      <c r="K30" s="43">
        <f t="shared" si="3"/>
        <v>0</v>
      </c>
      <c r="L30" s="43">
        <f>+'Reliquidación TD'!O30</f>
        <v>0</v>
      </c>
      <c r="M30" s="43">
        <f t="shared" si="0"/>
        <v>51841842.636901505</v>
      </c>
      <c r="N30" s="43">
        <f t="shared" si="4"/>
        <v>0</v>
      </c>
      <c r="O30" s="43">
        <f t="shared" si="5"/>
        <v>51841842.636901505</v>
      </c>
      <c r="P30" s="43">
        <f t="shared" si="1"/>
        <v>-19867904.436264332</v>
      </c>
      <c r="Q30" s="43">
        <f t="shared" si="6"/>
        <v>31973938.200637173</v>
      </c>
      <c r="R30" s="43">
        <v>0</v>
      </c>
      <c r="S30" s="43">
        <f t="shared" si="7"/>
        <v>31973938.200637173</v>
      </c>
    </row>
    <row r="31" spans="2:19" x14ac:dyDescent="0.2">
      <c r="B31" s="42" t="s">
        <v>38</v>
      </c>
      <c r="C31" s="43">
        <f>SUMIF('Entrada AR'!$E$8:$E$43,'Reliquidación AR'!$B31,'Entrada AR'!F$8:F$43)</f>
        <v>2775139</v>
      </c>
      <c r="D31" s="43">
        <f>SUMIF('Entrada AR'!$E$8:$E$43,'Reliquidación AR'!$B31,'Entrada AR'!G$8:G$43)</f>
        <v>3228410</v>
      </c>
      <c r="E31" s="43">
        <f>SUMIF('Entrada AR'!$E$8:$E$43,'Reliquidación AR'!$B31,'Entrada AR'!H$8:H$43)</f>
        <v>34546</v>
      </c>
      <c r="F31" s="43">
        <f>SUMIF('Entrada AR'!$E$8:$E$43,'Reliquidación AR'!$B31,'Entrada AR'!I$8:I$43)</f>
        <v>15593</v>
      </c>
      <c r="G31" s="43">
        <f>SUMIF('Entrada AR'!$E$8:$E$43,'Reliquidación AR'!$B31,'Entrada AR'!J$8:J$43)</f>
        <v>3298415.9145885999</v>
      </c>
      <c r="H31" s="43">
        <v>625866.55322880438</v>
      </c>
      <c r="I31" s="43">
        <f t="shared" si="2"/>
        <v>628329.20970581484</v>
      </c>
      <c r="J31" s="43">
        <v>0</v>
      </c>
      <c r="K31" s="43">
        <f t="shared" si="3"/>
        <v>0</v>
      </c>
      <c r="L31" s="43">
        <f>+'Reliquidación TD'!O31</f>
        <v>0</v>
      </c>
      <c r="M31" s="43">
        <f t="shared" si="0"/>
        <v>3926745.1242944147</v>
      </c>
      <c r="N31" s="43">
        <f t="shared" si="4"/>
        <v>0</v>
      </c>
      <c r="O31" s="43">
        <f t="shared" si="5"/>
        <v>3926745.1242944147</v>
      </c>
      <c r="P31" s="43">
        <f t="shared" si="1"/>
        <v>-1504888.5785459271</v>
      </c>
      <c r="Q31" s="43">
        <f t="shared" si="6"/>
        <v>2421856.5457484876</v>
      </c>
      <c r="R31" s="43">
        <v>0</v>
      </c>
      <c r="S31" s="43">
        <f t="shared" si="7"/>
        <v>2421856.5457484876</v>
      </c>
    </row>
    <row r="32" spans="2:19" x14ac:dyDescent="0.2">
      <c r="B32" s="42" t="s">
        <v>39</v>
      </c>
      <c r="C32" s="43">
        <f>SUMIF('Entrada AR'!$E$8:$E$43,'Reliquidación AR'!$B32,'Entrada AR'!F$8:F$43)</f>
        <v>47169688.200000003</v>
      </c>
      <c r="D32" s="43">
        <f>SUMIF('Entrada AR'!$E$8:$E$43,'Reliquidación AR'!$B32,'Entrada AR'!G$8:G$43)</f>
        <v>129845747.15020999</v>
      </c>
      <c r="E32" s="43">
        <f>SUMIF('Entrada AR'!$E$8:$E$43,'Reliquidación AR'!$B32,'Entrada AR'!H$8:H$43)</f>
        <v>2333169.5</v>
      </c>
      <c r="F32" s="43">
        <f>SUMIF('Entrada AR'!$E$8:$E$43,'Reliquidación AR'!$B32,'Entrada AR'!I$8:I$43)</f>
        <v>871069.2</v>
      </c>
      <c r="G32" s="43">
        <f>SUMIF('Entrada AR'!$E$8:$E$43,'Reliquidación AR'!$B32,'Entrada AR'!J$8:J$43)</f>
        <v>23997661.33843476</v>
      </c>
      <c r="H32" s="43">
        <v>38979490.542477161</v>
      </c>
      <c r="I32" s="43">
        <f t="shared" si="2"/>
        <v>39132866.840283424</v>
      </c>
      <c r="J32" s="43">
        <v>0</v>
      </c>
      <c r="K32" s="43">
        <f t="shared" si="3"/>
        <v>0</v>
      </c>
      <c r="L32" s="43">
        <f>+'Reliquidación TD'!O32</f>
        <v>-872.45124712519669</v>
      </c>
      <c r="M32" s="43">
        <f t="shared" si="0"/>
        <v>63130528.178718179</v>
      </c>
      <c r="N32" s="43">
        <f t="shared" si="4"/>
        <v>0</v>
      </c>
      <c r="O32" s="43">
        <f t="shared" si="5"/>
        <v>63130528.178718179</v>
      </c>
      <c r="P32" s="43">
        <f t="shared" si="1"/>
        <v>-24194188.267005455</v>
      </c>
      <c r="Q32" s="43">
        <f t="shared" si="6"/>
        <v>38936339.911712721</v>
      </c>
      <c r="R32" s="43">
        <v>0</v>
      </c>
      <c r="S32" s="43">
        <f t="shared" si="7"/>
        <v>38936339.911712721</v>
      </c>
    </row>
    <row r="33" spans="2:19" x14ac:dyDescent="0.2">
      <c r="B33" s="42" t="s">
        <v>40</v>
      </c>
      <c r="C33" s="43">
        <f>SUMIF('Entrada AR'!$E$8:$E$43,'Reliquidación AR'!$B33,'Entrada AR'!F$8:F$43)</f>
        <v>2024167.1</v>
      </c>
      <c r="D33" s="43">
        <f>SUMIF('Entrada AR'!$E$8:$E$43,'Reliquidación AR'!$B33,'Entrada AR'!G$8:G$43)</f>
        <v>3180908.1</v>
      </c>
      <c r="E33" s="43">
        <f>SUMIF('Entrada AR'!$E$8:$E$43,'Reliquidación AR'!$B33,'Entrada AR'!H$8:H$43)</f>
        <v>43633</v>
      </c>
      <c r="F33" s="43">
        <f>SUMIF('Entrada AR'!$E$8:$E$43,'Reliquidación AR'!$B33,'Entrada AR'!I$8:I$43)</f>
        <v>103787.1</v>
      </c>
      <c r="G33" s="43">
        <f>SUMIF('Entrada AR'!$E$8:$E$43,'Reliquidación AR'!$B33,'Entrada AR'!J$8:J$43)</f>
        <v>379546.21103183471</v>
      </c>
      <c r="H33" s="43">
        <v>871024.94984201342</v>
      </c>
      <c r="I33" s="43">
        <f t="shared" si="2"/>
        <v>874452.2543101944</v>
      </c>
      <c r="J33" s="43">
        <v>0</v>
      </c>
      <c r="K33" s="43">
        <f t="shared" si="3"/>
        <v>0</v>
      </c>
      <c r="L33" s="43">
        <f>+'Reliquidación TD'!O33</f>
        <v>0</v>
      </c>
      <c r="M33" s="43">
        <f t="shared" si="0"/>
        <v>1253998.465342029</v>
      </c>
      <c r="N33" s="43">
        <f t="shared" si="4"/>
        <v>0</v>
      </c>
      <c r="O33" s="43">
        <f t="shared" si="5"/>
        <v>1253998.465342029</v>
      </c>
      <c r="P33" s="43">
        <f t="shared" si="1"/>
        <v>-480583.25872281624</v>
      </c>
      <c r="Q33" s="43">
        <f t="shared" si="6"/>
        <v>773415.20661921275</v>
      </c>
      <c r="R33" s="43">
        <v>0</v>
      </c>
      <c r="S33" s="43">
        <f t="shared" si="7"/>
        <v>773415.20661921275</v>
      </c>
    </row>
    <row r="34" spans="2:19" x14ac:dyDescent="0.2">
      <c r="B34" s="42" t="s">
        <v>41</v>
      </c>
      <c r="C34" s="43">
        <f>SUMIF('Entrada AR'!$E$8:$E$43,'Reliquidación AR'!$B34,'Entrada AR'!F$8:F$43)</f>
        <v>1599535.9</v>
      </c>
      <c r="D34" s="43">
        <f>SUMIF('Entrada AR'!$E$8:$E$43,'Reliquidación AR'!$B34,'Entrada AR'!G$8:G$43)</f>
        <v>11659642.3651</v>
      </c>
      <c r="E34" s="43">
        <f>SUMIF('Entrada AR'!$E$8:$E$43,'Reliquidación AR'!$B34,'Entrada AR'!H$8:H$43)</f>
        <v>2846</v>
      </c>
      <c r="F34" s="43">
        <f>SUMIF('Entrada AR'!$E$8:$E$43,'Reliquidación AR'!$B34,'Entrada AR'!I$8:I$43)</f>
        <v>57695</v>
      </c>
      <c r="G34" s="43">
        <f>SUMIF('Entrada AR'!$E$8:$E$43,'Reliquidación AR'!$B34,'Entrada AR'!J$8:J$43)</f>
        <v>1429508.213241386</v>
      </c>
      <c r="H34" s="43">
        <v>2047961.0903327409</v>
      </c>
      <c r="I34" s="43">
        <f t="shared" si="2"/>
        <v>2056019.3970400647</v>
      </c>
      <c r="J34" s="43">
        <v>0</v>
      </c>
      <c r="K34" s="43">
        <f t="shared" si="3"/>
        <v>0</v>
      </c>
      <c r="L34" s="43">
        <f>+'Reliquidación TD'!O34</f>
        <v>-144.80576151688686</v>
      </c>
      <c r="M34" s="43">
        <f t="shared" si="0"/>
        <v>3485527.6102814507</v>
      </c>
      <c r="N34" s="43">
        <f t="shared" si="4"/>
        <v>0</v>
      </c>
      <c r="O34" s="43">
        <f t="shared" si="5"/>
        <v>3485527.6102814507</v>
      </c>
      <c r="P34" s="43">
        <f t="shared" si="1"/>
        <v>-1335796.0664334057</v>
      </c>
      <c r="Q34" s="43">
        <f t="shared" si="6"/>
        <v>2149731.5438480452</v>
      </c>
      <c r="R34" s="43">
        <v>0</v>
      </c>
      <c r="S34" s="43">
        <f t="shared" si="7"/>
        <v>2149731.5438480452</v>
      </c>
    </row>
    <row r="35" spans="2:19" x14ac:dyDescent="0.2">
      <c r="B35" s="42" t="s">
        <v>42</v>
      </c>
      <c r="C35" s="43">
        <f>SUMIF('Entrada AR'!$E$8:$E$43,'Reliquidación AR'!$B35,'Entrada AR'!F$8:F$43)</f>
        <v>8000439.7999999998</v>
      </c>
      <c r="D35" s="43">
        <f>SUMIF('Entrada AR'!$E$8:$E$43,'Reliquidación AR'!$B35,'Entrada AR'!G$8:G$43)</f>
        <v>6815829.9396000002</v>
      </c>
      <c r="E35" s="43">
        <f>SUMIF('Entrada AR'!$E$8:$E$43,'Reliquidación AR'!$B35,'Entrada AR'!H$8:H$43)</f>
        <v>335599</v>
      </c>
      <c r="F35" s="43">
        <f>SUMIF('Entrada AR'!$E$8:$E$43,'Reliquidación AR'!$B35,'Entrada AR'!I$8:I$43)</f>
        <v>39272.500200000002</v>
      </c>
      <c r="G35" s="43">
        <f>SUMIF('Entrada AR'!$E$8:$E$43,'Reliquidación AR'!$B35,'Entrada AR'!J$8:J$43)</f>
        <v>2017372.962435588</v>
      </c>
      <c r="H35" s="43">
        <v>2158756.7187208459</v>
      </c>
      <c r="I35" s="43">
        <f t="shared" si="2"/>
        <v>2167250.9834937775</v>
      </c>
      <c r="J35" s="43">
        <v>0</v>
      </c>
      <c r="K35" s="43">
        <f t="shared" si="3"/>
        <v>0</v>
      </c>
      <c r="L35" s="43">
        <f>+'Reliquidación TD'!O35</f>
        <v>-1.171750646537209</v>
      </c>
      <c r="M35" s="43">
        <f t="shared" si="0"/>
        <v>4184623.9459293652</v>
      </c>
      <c r="N35" s="43">
        <f t="shared" si="4"/>
        <v>0</v>
      </c>
      <c r="O35" s="43">
        <f t="shared" si="5"/>
        <v>4184623.9459293652</v>
      </c>
      <c r="P35" s="43">
        <f t="shared" si="1"/>
        <v>-1603718.2405289039</v>
      </c>
      <c r="Q35" s="43">
        <f t="shared" si="6"/>
        <v>2580905.7054004613</v>
      </c>
      <c r="R35" s="43">
        <v>0</v>
      </c>
      <c r="S35" s="43">
        <f t="shared" si="7"/>
        <v>2580905.7054004613</v>
      </c>
    </row>
    <row r="36" spans="2:19" x14ac:dyDescent="0.2">
      <c r="B36" s="42" t="s">
        <v>43</v>
      </c>
      <c r="C36" s="43">
        <f>SUMIF('Entrada AR'!$E$8:$E$43,'Reliquidación AR'!$B36,'Entrada AR'!F$8:F$43)</f>
        <v>9889670.5999999996</v>
      </c>
      <c r="D36" s="43">
        <f>SUMIF('Entrada AR'!$E$8:$E$43,'Reliquidación AR'!$B36,'Entrada AR'!G$8:G$43)</f>
        <v>5446425.7867000001</v>
      </c>
      <c r="E36" s="43">
        <f>SUMIF('Entrada AR'!$E$8:$E$43,'Reliquidación AR'!$B36,'Entrada AR'!H$8:H$43)</f>
        <v>260291</v>
      </c>
      <c r="F36" s="43">
        <f>SUMIF('Entrada AR'!$E$8:$E$43,'Reliquidación AR'!$B36,'Entrada AR'!I$8:I$43)</f>
        <v>76425</v>
      </c>
      <c r="G36" s="43">
        <f>SUMIF('Entrada AR'!$E$8:$E$43,'Reliquidación AR'!$B36,'Entrada AR'!J$8:J$43)</f>
        <v>807996.32578038471</v>
      </c>
      <c r="H36" s="43">
        <v>2862401.5247123614</v>
      </c>
      <c r="I36" s="43">
        <f t="shared" si="2"/>
        <v>2873664.4874290484</v>
      </c>
      <c r="J36" s="43">
        <v>0</v>
      </c>
      <c r="K36" s="43">
        <f t="shared" si="3"/>
        <v>0</v>
      </c>
      <c r="L36" s="43">
        <f>+'Reliquidación TD'!O36</f>
        <v>-78.84490472425243</v>
      </c>
      <c r="M36" s="43">
        <f t="shared" si="0"/>
        <v>3681660.8132094331</v>
      </c>
      <c r="N36" s="43">
        <f t="shared" si="4"/>
        <v>0</v>
      </c>
      <c r="O36" s="43">
        <f t="shared" si="5"/>
        <v>3681660.8132094331</v>
      </c>
      <c r="P36" s="43">
        <f t="shared" si="1"/>
        <v>-1410962.2938347801</v>
      </c>
      <c r="Q36" s="43">
        <f t="shared" si="6"/>
        <v>2270698.5193746528</v>
      </c>
      <c r="R36" s="43">
        <v>0</v>
      </c>
      <c r="S36" s="43">
        <f t="shared" si="7"/>
        <v>2270698.5193746528</v>
      </c>
    </row>
    <row r="37" spans="2:19" x14ac:dyDescent="0.2">
      <c r="B37" s="42" t="s">
        <v>45</v>
      </c>
      <c r="C37" s="43">
        <f>SUMIF('Entrada AR'!$E$8:$E$43,'Reliquidación AR'!$B37,'Entrada AR'!F$8:F$43)</f>
        <v>631486</v>
      </c>
      <c r="D37" s="43">
        <f>SUMIF('Entrada AR'!$E$8:$E$43,'Reliquidación AR'!$B37,'Entrada AR'!G$8:G$43)</f>
        <v>991478</v>
      </c>
      <c r="E37" s="43">
        <f>SUMIF('Entrada AR'!$E$8:$E$43,'Reliquidación AR'!$B37,'Entrada AR'!H$8:H$43)</f>
        <v>34425</v>
      </c>
      <c r="F37" s="43">
        <f>SUMIF('Entrada AR'!$E$8:$E$43,'Reliquidación AR'!$B37,'Entrada AR'!I$8:I$43)</f>
        <v>12094</v>
      </c>
      <c r="G37" s="43">
        <f>SUMIF('Entrada AR'!$E$8:$E$43,'Reliquidación AR'!$B37,'Entrada AR'!J$8:J$43)</f>
        <v>296330.20503177837</v>
      </c>
      <c r="H37" s="43">
        <v>301118.26326173404</v>
      </c>
      <c r="I37" s="43">
        <f t="shared" si="2"/>
        <v>302303.10184679989</v>
      </c>
      <c r="J37" s="43">
        <v>0</v>
      </c>
      <c r="K37" s="43">
        <f t="shared" si="3"/>
        <v>0</v>
      </c>
      <c r="L37" s="43">
        <f>+'Reliquidación TD'!O37</f>
        <v>0</v>
      </c>
      <c r="M37" s="43">
        <f t="shared" si="0"/>
        <v>598633.30687857827</v>
      </c>
      <c r="N37" s="43">
        <f t="shared" si="4"/>
        <v>0</v>
      </c>
      <c r="O37" s="43">
        <f t="shared" si="5"/>
        <v>598633.30687857827</v>
      </c>
      <c r="P37" s="43">
        <f t="shared" si="1"/>
        <v>-229420.65189948565</v>
      </c>
      <c r="Q37" s="43">
        <f t="shared" si="6"/>
        <v>369212.65497909265</v>
      </c>
      <c r="R37" s="43">
        <v>0</v>
      </c>
      <c r="S37" s="43">
        <f t="shared" si="7"/>
        <v>369212.65497909265</v>
      </c>
    </row>
    <row r="38" spans="2:19" x14ac:dyDescent="0.2">
      <c r="B38" s="42" t="s">
        <v>46</v>
      </c>
      <c r="C38" s="43">
        <f>SUMIF('Entrada AR'!$E$8:$E$43,'Reliquidación AR'!$B38,'Entrada AR'!F$8:F$43)</f>
        <v>3488306.997</v>
      </c>
      <c r="D38" s="43">
        <f>SUMIF('Entrada AR'!$E$8:$E$43,'Reliquidación AR'!$B38,'Entrada AR'!G$8:G$43)</f>
        <v>17890534.035999998</v>
      </c>
      <c r="E38" s="43">
        <f>SUMIF('Entrada AR'!$E$8:$E$43,'Reliquidación AR'!$B38,'Entrada AR'!H$8:H$43)</f>
        <v>6102</v>
      </c>
      <c r="F38" s="43">
        <f>SUMIF('Entrada AR'!$E$8:$E$43,'Reliquidación AR'!$B38,'Entrada AR'!I$8:I$43)</f>
        <v>25475.017</v>
      </c>
      <c r="G38" s="43">
        <f>SUMIF('Entrada AR'!$E$8:$E$43,'Reliquidación AR'!$B38,'Entrada AR'!J$8:J$43)</f>
        <v>2533327.0820750138</v>
      </c>
      <c r="H38" s="43">
        <v>4173358.2854932621</v>
      </c>
      <c r="I38" s="43">
        <f t="shared" si="2"/>
        <v>4189779.5940927295</v>
      </c>
      <c r="J38" s="43">
        <v>0</v>
      </c>
      <c r="K38" s="43">
        <f t="shared" si="3"/>
        <v>0</v>
      </c>
      <c r="L38" s="43">
        <f>+'Reliquidación TD'!O38</f>
        <v>0</v>
      </c>
      <c r="M38" s="43">
        <f t="shared" si="0"/>
        <v>6723106.6761677433</v>
      </c>
      <c r="N38" s="43">
        <f>IF(M38&lt;0,-M38,0)</f>
        <v>0</v>
      </c>
      <c r="O38" s="43">
        <f>IF(M38&gt;0,M38,0)</f>
        <v>6723106.6761677433</v>
      </c>
      <c r="P38" s="43">
        <f t="shared" si="1"/>
        <v>-2576568.1573562012</v>
      </c>
      <c r="Q38" s="43">
        <f t="shared" si="6"/>
        <v>4146538.5188115421</v>
      </c>
      <c r="R38" s="43">
        <v>0</v>
      </c>
      <c r="S38" s="43">
        <f t="shared" si="7"/>
        <v>4146538.5188115421</v>
      </c>
    </row>
    <row r="39" spans="2:19" x14ac:dyDescent="0.2">
      <c r="B39" s="42" t="s">
        <v>47</v>
      </c>
      <c r="C39" s="43">
        <f>SUMIF('Entrada AR'!$E$8:$E$43,'Reliquidación AR'!$B39,'Entrada AR'!F$8:F$43)</f>
        <v>5923962.2429999998</v>
      </c>
      <c r="D39" s="43">
        <f>SUMIF('Entrada AR'!$E$8:$E$43,'Reliquidación AR'!$B39,'Entrada AR'!G$8:G$43)</f>
        <v>26188400.357999999</v>
      </c>
      <c r="E39" s="43">
        <f>SUMIF('Entrada AR'!$E$8:$E$43,'Reliquidación AR'!$B39,'Entrada AR'!H$8:H$43)</f>
        <v>15941.1</v>
      </c>
      <c r="F39" s="43">
        <f>SUMIF('Entrada AR'!$E$8:$E$43,'Reliquidación AR'!$B39,'Entrada AR'!I$8:I$43)</f>
        <v>14894.528</v>
      </c>
      <c r="G39" s="43">
        <f>SUMIF('Entrada AR'!$E$8:$E$43,'Reliquidación AR'!$B39,'Entrada AR'!J$8:J$43)</f>
        <v>4693904.9811914973</v>
      </c>
      <c r="H39" s="43">
        <v>6084414.3507095985</v>
      </c>
      <c r="I39" s="43">
        <f t="shared" si="2"/>
        <v>6108355.2728315582</v>
      </c>
      <c r="J39" s="43">
        <v>0</v>
      </c>
      <c r="K39" s="43">
        <f t="shared" si="3"/>
        <v>0</v>
      </c>
      <c r="L39" s="43">
        <f>+'Reliquidación TD'!O39</f>
        <v>-49.40370157827428</v>
      </c>
      <c r="M39" s="43">
        <f t="shared" si="0"/>
        <v>10802260.254023056</v>
      </c>
      <c r="N39" s="43">
        <f t="shared" si="4"/>
        <v>0</v>
      </c>
      <c r="O39" s="43">
        <f t="shared" si="5"/>
        <v>10802260.254023056</v>
      </c>
      <c r="P39" s="43">
        <f t="shared" si="1"/>
        <v>-4139865.8594326135</v>
      </c>
      <c r="Q39" s="43">
        <f t="shared" si="6"/>
        <v>6662394.394590443</v>
      </c>
      <c r="R39" s="43">
        <v>0</v>
      </c>
      <c r="S39" s="43">
        <f t="shared" si="7"/>
        <v>6662394.394590443</v>
      </c>
    </row>
    <row r="40" spans="2:19" x14ac:dyDescent="0.2">
      <c r="B40" s="42" t="s">
        <v>48</v>
      </c>
      <c r="C40" s="43">
        <f>SUMIF('Entrada AR'!$E$8:$E$43,'Reliquidación AR'!$B40,'Entrada AR'!F$8:F$43)</f>
        <v>10363964.34</v>
      </c>
      <c r="D40" s="43">
        <f>SUMIF('Entrada AR'!$E$8:$E$43,'Reliquidación AR'!$B40,'Entrada AR'!G$8:G$43)</f>
        <v>48028105.623999998</v>
      </c>
      <c r="E40" s="43">
        <f>SUMIF('Entrada AR'!$E$8:$E$43,'Reliquidación AR'!$B40,'Entrada AR'!H$8:H$43)</f>
        <v>79292.58</v>
      </c>
      <c r="F40" s="43">
        <f>SUMIF('Entrada AR'!$E$8:$E$43,'Reliquidación AR'!$B40,'Entrada AR'!I$8:I$43)</f>
        <v>73327.173999999999</v>
      </c>
      <c r="G40" s="43">
        <f>SUMIF('Entrada AR'!$E$8:$E$43,'Reliquidación AR'!$B40,'Entrada AR'!J$8:J$43)</f>
        <v>7778243.9990959279</v>
      </c>
      <c r="H40" s="43">
        <v>12544713.226481549</v>
      </c>
      <c r="I40" s="43">
        <f t="shared" si="2"/>
        <v>12594074.099210819</v>
      </c>
      <c r="J40" s="43">
        <v>0</v>
      </c>
      <c r="K40" s="43">
        <f t="shared" si="3"/>
        <v>0</v>
      </c>
      <c r="L40" s="43">
        <f>+'Reliquidación TD'!O40</f>
        <v>37316.126916694891</v>
      </c>
      <c r="M40" s="43">
        <f t="shared" si="0"/>
        <v>20372318.098306745</v>
      </c>
      <c r="N40" s="43">
        <f t="shared" si="4"/>
        <v>0</v>
      </c>
      <c r="O40" s="43">
        <f t="shared" si="5"/>
        <v>20372318.098306745</v>
      </c>
      <c r="P40" s="43">
        <f t="shared" si="1"/>
        <v>-7807501.5959063964</v>
      </c>
      <c r="Q40" s="43">
        <f t="shared" si="6"/>
        <v>12564816.50240035</v>
      </c>
      <c r="R40" s="43">
        <v>0</v>
      </c>
      <c r="S40" s="43">
        <f t="shared" si="7"/>
        <v>12564816.50240035</v>
      </c>
    </row>
    <row r="41" spans="2:19" x14ac:dyDescent="0.2">
      <c r="B41" s="42" t="s">
        <v>49</v>
      </c>
      <c r="C41" s="43">
        <f>SUMIF('Entrada AR'!$E$8:$E$43,'Reliquidación AR'!$B41,'Entrada AR'!F$8:F$43)</f>
        <v>0</v>
      </c>
      <c r="D41" s="43">
        <f>SUMIF('Entrada AR'!$E$8:$E$43,'Reliquidación AR'!$B41,'Entrada AR'!G$8:G$43)</f>
        <v>0</v>
      </c>
      <c r="E41" s="43">
        <f>SUMIF('Entrada AR'!$E$8:$E$43,'Reliquidación AR'!$B41,'Entrada AR'!H$8:H$43)</f>
        <v>0</v>
      </c>
      <c r="F41" s="43">
        <f>SUMIF('Entrada AR'!$E$8:$E$43,'Reliquidación AR'!$B41,'Entrada AR'!I$8:I$43)</f>
        <v>0</v>
      </c>
      <c r="G41" s="43">
        <f>SUMIF('Entrada AR'!$E$8:$E$43,'Reliquidación AR'!$B41,'Entrada AR'!J$8:J$43)</f>
        <v>0</v>
      </c>
      <c r="H41" s="43">
        <v>0</v>
      </c>
      <c r="I41" s="43">
        <f>H41*($I$4+1)</f>
        <v>0</v>
      </c>
      <c r="J41" s="43">
        <v>0</v>
      </c>
      <c r="K41" s="43">
        <f t="shared" si="3"/>
        <v>0</v>
      </c>
      <c r="L41" s="43">
        <f>+'Reliquidación TD'!O41</f>
        <v>0</v>
      </c>
      <c r="M41" s="43">
        <f t="shared" si="0"/>
        <v>0</v>
      </c>
      <c r="N41" s="43">
        <f>IF(M41&lt;0,-M41,0)</f>
        <v>0</v>
      </c>
      <c r="O41" s="43">
        <f>IF(M41&gt;0,M41,0)</f>
        <v>0</v>
      </c>
      <c r="P41" s="43">
        <f t="shared" si="1"/>
        <v>0</v>
      </c>
      <c r="Q41" s="43">
        <f>M41+P41</f>
        <v>0</v>
      </c>
      <c r="R41" s="43">
        <v>0</v>
      </c>
      <c r="S41" s="43">
        <f t="shared" si="7"/>
        <v>0</v>
      </c>
    </row>
    <row r="42" spans="2:19" x14ac:dyDescent="0.2">
      <c r="B42" s="42" t="s">
        <v>50</v>
      </c>
      <c r="C42" s="43">
        <f>SUMIF('Entrada AR'!$E$8:$E$43,'Reliquidación AR'!$B42,'Entrada AR'!F$8:F$43)</f>
        <v>0</v>
      </c>
      <c r="D42" s="43">
        <f>SUMIF('Entrada AR'!$E$8:$E$43,'Reliquidación AR'!$B42,'Entrada AR'!G$8:G$43)</f>
        <v>7680.2999999999993</v>
      </c>
      <c r="E42" s="43">
        <f>SUMIF('Entrada AR'!$E$8:$E$43,'Reliquidación AR'!$B42,'Entrada AR'!H$8:H$43)</f>
        <v>0</v>
      </c>
      <c r="F42" s="43">
        <f>SUMIF('Entrada AR'!$E$8:$E$43,'Reliquidación AR'!$B42,'Entrada AR'!I$8:I$43)</f>
        <v>0</v>
      </c>
      <c r="G42" s="43">
        <f>SUMIF('Entrada AR'!$E$8:$E$43,'Reliquidación AR'!$B42,'Entrada AR'!J$8:J$43)</f>
        <v>635.28146751299971</v>
      </c>
      <c r="H42" s="43">
        <v>410.90539434654283</v>
      </c>
      <c r="I42" s="43">
        <f>H42*($I$4+1)</f>
        <v>412.52222276724308</v>
      </c>
      <c r="J42" s="43">
        <v>0</v>
      </c>
      <c r="K42" s="43">
        <f t="shared" si="3"/>
        <v>0</v>
      </c>
      <c r="L42" s="43">
        <f>+'Reliquidación TD'!O42</f>
        <v>0</v>
      </c>
      <c r="M42" s="43">
        <f t="shared" si="0"/>
        <v>1047.8036902802428</v>
      </c>
      <c r="N42" s="43">
        <f>IF(M42&lt;0,-M42,0)</f>
        <v>0</v>
      </c>
      <c r="O42" s="43">
        <f>IF(M42&gt;0,M42,0)</f>
        <v>1047.8036902802428</v>
      </c>
      <c r="P42" s="43">
        <f t="shared" si="1"/>
        <v>-401.56102730103908</v>
      </c>
      <c r="Q42" s="43">
        <f>M42+P42</f>
        <v>646.24266297920371</v>
      </c>
      <c r="R42" s="43">
        <v>0</v>
      </c>
      <c r="S42" s="43">
        <f t="shared" si="7"/>
        <v>646.24266297920371</v>
      </c>
    </row>
    <row r="43" spans="2:19" x14ac:dyDescent="0.2">
      <c r="B43" s="44" t="s">
        <v>51</v>
      </c>
      <c r="C43" s="45">
        <f>SUMIF('Entrada AR'!$E$8:$E$43,'Reliquidación AR'!$B43,'Entrada AR'!F$8:F$43)</f>
        <v>32785.800000000003</v>
      </c>
      <c r="D43" s="45">
        <f>SUMIF('Entrada AR'!$E$8:$E$43,'Reliquidación AR'!$B43,'Entrada AR'!G$8:G$43)</f>
        <v>63849.399999999987</v>
      </c>
      <c r="E43" s="45">
        <f>SUMIF('Entrada AR'!$E$8:$E$43,'Reliquidación AR'!$B43,'Entrada AR'!H$8:H$43)</f>
        <v>0</v>
      </c>
      <c r="F43" s="45">
        <f>SUMIF('Entrada AR'!$E$8:$E$43,'Reliquidación AR'!$B43,'Entrada AR'!I$8:I$43)</f>
        <v>0</v>
      </c>
      <c r="G43" s="45">
        <f>SUMIF('Entrada AR'!$E$8:$E$43,'Reliquidación AR'!$B43,'Entrada AR'!J$8:J$43)</f>
        <v>7757.7998605843677</v>
      </c>
      <c r="H43" s="45">
        <v>1425.0580893867609</v>
      </c>
      <c r="I43" s="45">
        <f>H43*($I$4+1)</f>
        <v>1430.6654005872708</v>
      </c>
      <c r="J43" s="45">
        <v>0</v>
      </c>
      <c r="K43" s="45">
        <f t="shared" si="3"/>
        <v>0</v>
      </c>
      <c r="L43" s="45">
        <f>+'Reliquidación TD'!O43</f>
        <v>0</v>
      </c>
      <c r="M43" s="45">
        <f t="shared" si="0"/>
        <v>9188.4652611716392</v>
      </c>
      <c r="N43" s="45">
        <f t="shared" si="4"/>
        <v>0</v>
      </c>
      <c r="O43" s="45">
        <f t="shared" si="5"/>
        <v>9188.4652611716392</v>
      </c>
      <c r="P43" s="45">
        <f>IF(OR($N$44=0,$O$44=0),0,(N43/$N$44-O43/$O$44)*$O$49)</f>
        <v>-3521.3939250482581</v>
      </c>
      <c r="Q43" s="45">
        <f t="shared" si="6"/>
        <v>5667.0713361233811</v>
      </c>
      <c r="R43" s="45">
        <v>0</v>
      </c>
      <c r="S43" s="45">
        <f t="shared" si="7"/>
        <v>5667.0713361233811</v>
      </c>
    </row>
    <row r="44" spans="2:19" x14ac:dyDescent="0.2">
      <c r="B44" s="46" t="s">
        <v>66</v>
      </c>
      <c r="C44" s="16">
        <f t="shared" ref="C44:Q44" si="8">SUM(C9:C43)</f>
        <v>550593057.95993447</v>
      </c>
      <c r="D44" s="16">
        <f t="shared" si="8"/>
        <v>1696300991.8939717</v>
      </c>
      <c r="E44" s="16">
        <f t="shared" si="8"/>
        <v>10893095.265000001</v>
      </c>
      <c r="F44" s="16">
        <f t="shared" si="8"/>
        <v>2094804.5562</v>
      </c>
      <c r="G44" s="16">
        <f t="shared" si="8"/>
        <v>99720006.435431659</v>
      </c>
      <c r="H44" s="16">
        <f t="shared" si="8"/>
        <v>313506271.38464618</v>
      </c>
      <c r="I44" s="16">
        <f t="shared" si="8"/>
        <v>314739854.24001008</v>
      </c>
      <c r="J44" s="16">
        <f t="shared" si="8"/>
        <v>0</v>
      </c>
      <c r="K44" s="16">
        <f t="shared" si="8"/>
        <v>0</v>
      </c>
      <c r="L44" s="16">
        <f t="shared" si="8"/>
        <v>-7.2759576141834259E-12</v>
      </c>
      <c r="M44" s="16">
        <f>SUM(M9:M43)</f>
        <v>414459860.67544162</v>
      </c>
      <c r="N44" s="16">
        <f t="shared" si="8"/>
        <v>257536273.85202795</v>
      </c>
      <c r="O44" s="16">
        <f>SUM(O9:O43)</f>
        <v>671996134.52746999</v>
      </c>
      <c r="P44" s="16">
        <f t="shared" si="8"/>
        <v>1.0396615834906697E-7</v>
      </c>
      <c r="Q44" s="16">
        <f t="shared" si="8"/>
        <v>414459860.6754418</v>
      </c>
      <c r="R44" s="16">
        <f t="shared" ref="R44:S44" si="9">SUM(R9:R43)</f>
        <v>0</v>
      </c>
      <c r="S44" s="16">
        <f t="shared" si="9"/>
        <v>414459860.6754418</v>
      </c>
    </row>
    <row r="45" spans="2:19" x14ac:dyDescent="0.2">
      <c r="B45" s="50"/>
      <c r="C45"/>
      <c r="D45"/>
      <c r="E45"/>
      <c r="F45"/>
      <c r="G45"/>
      <c r="H45"/>
      <c r="I45"/>
      <c r="J45"/>
      <c r="K45"/>
      <c r="L45"/>
      <c r="M45"/>
      <c r="N45" s="51"/>
      <c r="O45" s="51"/>
      <c r="P45"/>
    </row>
    <row r="46" spans="2:19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2:19" x14ac:dyDescent="0.2">
      <c r="B47"/>
      <c r="C47"/>
      <c r="H47" s="58"/>
      <c r="I47" s="17"/>
      <c r="J47" s="17"/>
      <c r="K47" s="17"/>
      <c r="L47" s="17"/>
      <c r="M47" s="17"/>
      <c r="N47" s="7" t="s">
        <v>75</v>
      </c>
      <c r="O47" s="53">
        <f>O44</f>
        <v>671996134.52746999</v>
      </c>
      <c r="P47"/>
    </row>
    <row r="48" spans="2:19" x14ac:dyDescent="0.2">
      <c r="B48"/>
      <c r="C48"/>
      <c r="H48" s="52"/>
      <c r="I48" s="17"/>
      <c r="J48" s="17"/>
      <c r="K48" s="17"/>
      <c r="L48" s="17"/>
      <c r="M48" s="17"/>
      <c r="N48" s="7" t="s">
        <v>76</v>
      </c>
      <c r="O48" s="53">
        <f>N44</f>
        <v>257536273.85202795</v>
      </c>
      <c r="P48"/>
      <c r="Q48" s="54"/>
    </row>
    <row r="49" spans="2:17" x14ac:dyDescent="0.2">
      <c r="B49"/>
      <c r="C49"/>
      <c r="H49" s="52"/>
      <c r="I49"/>
      <c r="J49"/>
      <c r="K49"/>
      <c r="L49"/>
      <c r="M49"/>
      <c r="N49" s="7" t="s">
        <v>69</v>
      </c>
      <c r="O49" s="53">
        <f>+IF(O48&lt;O47,O48,O47)</f>
        <v>257536273.85202795</v>
      </c>
      <c r="P49"/>
      <c r="Q49" s="54"/>
    </row>
    <row r="50" spans="2:17" x14ac:dyDescent="0.2">
      <c r="B50"/>
      <c r="N50" s="17"/>
      <c r="O50"/>
    </row>
    <row r="51" spans="2:17" x14ac:dyDescent="0.2">
      <c r="B51"/>
      <c r="G51" s="54"/>
      <c r="J51"/>
    </row>
    <row r="52" spans="2:17" x14ac:dyDescent="0.2">
      <c r="B52"/>
    </row>
    <row r="53" spans="2:17" x14ac:dyDescent="0.2">
      <c r="B53"/>
    </row>
    <row r="54" spans="2:17" x14ac:dyDescent="0.2">
      <c r="B54"/>
    </row>
    <row r="55" spans="2:17" x14ac:dyDescent="0.2">
      <c r="B55"/>
    </row>
    <row r="56" spans="2:17" x14ac:dyDescent="0.2">
      <c r="B56"/>
    </row>
    <row r="57" spans="2:17" x14ac:dyDescent="0.2">
      <c r="B57"/>
    </row>
    <row r="58" spans="2:17" x14ac:dyDescent="0.2">
      <c r="B58"/>
    </row>
    <row r="59" spans="2:17" x14ac:dyDescent="0.2">
      <c r="B59"/>
    </row>
    <row r="60" spans="2:17" x14ac:dyDescent="0.2">
      <c r="B60"/>
    </row>
    <row r="61" spans="2:17" x14ac:dyDescent="0.2">
      <c r="B61"/>
    </row>
    <row r="62" spans="2:17" x14ac:dyDescent="0.2">
      <c r="B62"/>
    </row>
    <row r="63" spans="2:17" x14ac:dyDescent="0.2">
      <c r="B63"/>
    </row>
    <row r="64" spans="2:17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</sheetData>
  <dataConsolidate/>
  <mergeCells count="18">
    <mergeCell ref="N6:N7"/>
    <mergeCell ref="O6:O7"/>
    <mergeCell ref="P6:P7"/>
    <mergeCell ref="Q6:Q7"/>
    <mergeCell ref="R6:R7"/>
    <mergeCell ref="S6:S7"/>
    <mergeCell ref="H6:H7"/>
    <mergeCell ref="I6:I7"/>
    <mergeCell ref="J6:J7"/>
    <mergeCell ref="K6:K7"/>
    <mergeCell ref="L6:L7"/>
    <mergeCell ref="M6:M7"/>
    <mergeCell ref="B6:B8"/>
    <mergeCell ref="C6:C7"/>
    <mergeCell ref="D6:D7"/>
    <mergeCell ref="E6:E7"/>
    <mergeCell ref="F6:F7"/>
    <mergeCell ref="G6:G7"/>
  </mergeCells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4278A-7D05-4F1D-B229-60558B796F1C}">
  <sheetPr codeName="Hoja1">
    <tabColor theme="8" tint="0.59999389629810485"/>
  </sheetPr>
  <dimension ref="A2:X71"/>
  <sheetViews>
    <sheetView showGridLines="0" zoomScale="70" zoomScaleNormal="70" workbookViewId="0"/>
  </sheetViews>
  <sheetFormatPr baseColWidth="10" defaultColWidth="11.42578125" defaultRowHeight="12.75" x14ac:dyDescent="0.2"/>
  <cols>
    <col min="1" max="1" width="11.42578125" style="20"/>
    <col min="2" max="2" width="24" style="20" customWidth="1"/>
    <col min="3" max="3" width="17.5703125" style="20" customWidth="1"/>
    <col min="4" max="4" width="12.85546875" style="20" bestFit="1" customWidth="1"/>
    <col min="5" max="5" width="12.85546875" style="20" customWidth="1"/>
    <col min="6" max="6" width="16.28515625" style="20" customWidth="1"/>
    <col min="7" max="7" width="18.28515625" style="20" customWidth="1"/>
    <col min="8" max="8" width="20.140625" style="20" customWidth="1"/>
    <col min="9" max="9" width="12.85546875" style="20" customWidth="1"/>
    <col min="10" max="10" width="15.5703125" style="20" customWidth="1"/>
    <col min="11" max="11" width="20" style="20" customWidth="1"/>
    <col min="12" max="12" width="23.140625" style="20" customWidth="1"/>
    <col min="13" max="13" width="20.140625" style="20" customWidth="1"/>
    <col min="14" max="14" width="8" style="20" customWidth="1"/>
    <col min="15" max="15" width="15.140625" style="20" customWidth="1"/>
    <col min="16" max="16" width="15.42578125" style="20" customWidth="1"/>
    <col min="17" max="17" width="16.5703125" style="20" customWidth="1"/>
    <col min="18" max="18" width="14.85546875" style="20" customWidth="1"/>
    <col min="19" max="19" width="20.28515625" style="20" customWidth="1"/>
    <col min="20" max="20" width="15.140625" style="20" customWidth="1"/>
    <col min="21" max="21" width="10.85546875" style="20" bestFit="1" customWidth="1"/>
    <col min="22" max="22" width="15.42578125" style="20" customWidth="1"/>
    <col min="23" max="23" width="12.85546875" style="20" customWidth="1"/>
    <col min="24" max="24" width="13.140625" style="20" customWidth="1"/>
    <col min="25" max="16384" width="11.42578125" style="20"/>
  </cols>
  <sheetData>
    <row r="2" spans="1:21" x14ac:dyDescent="0.2">
      <c r="B2" s="25" t="s">
        <v>77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21" x14ac:dyDescent="0.2">
      <c r="B3" s="21">
        <f>FechaFacturacion</f>
        <v>45689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6" spans="1:21" ht="12.75" customHeight="1" x14ac:dyDescent="0.2">
      <c r="B6" s="30" t="s">
        <v>6</v>
      </c>
      <c r="C6" s="29" t="s">
        <v>78</v>
      </c>
      <c r="D6" s="60"/>
      <c r="E6" s="60"/>
      <c r="F6" s="29" t="s">
        <v>6</v>
      </c>
      <c r="G6" s="29" t="s">
        <v>79</v>
      </c>
      <c r="H6" s="29" t="s">
        <v>80</v>
      </c>
      <c r="I6" s="60"/>
      <c r="J6" s="29" t="s">
        <v>81</v>
      </c>
      <c r="K6" s="61" cm="1">
        <f t="array" ref="K6">SUMPRODUCT(($H$8:$H$32&gt;0)*($H$8:$H$32))</f>
        <v>303434857.52289987</v>
      </c>
      <c r="S6" s="62"/>
      <c r="T6"/>
    </row>
    <row r="7" spans="1:21" ht="26.25" customHeight="1" x14ac:dyDescent="0.2">
      <c r="B7" s="30"/>
      <c r="C7" s="34"/>
      <c r="D7" s="60"/>
      <c r="E7" s="60"/>
      <c r="F7" s="34"/>
      <c r="G7" s="34"/>
      <c r="H7" s="34"/>
      <c r="I7"/>
      <c r="J7" s="34"/>
      <c r="K7" s="63"/>
      <c r="R7"/>
      <c r="S7"/>
      <c r="T7"/>
      <c r="U7"/>
    </row>
    <row r="8" spans="1:21" x14ac:dyDescent="0.2">
      <c r="B8" s="40" t="s">
        <v>14</v>
      </c>
      <c r="C8" s="41">
        <f>'Reliquidación AR'!$P9+'Reliquidación AR'!L9</f>
        <v>41839062.58368247</v>
      </c>
      <c r="D8" s="64"/>
      <c r="E8" s="64"/>
      <c r="F8" s="40" t="s">
        <v>14</v>
      </c>
      <c r="G8" s="43">
        <v>-2.3283064365386963E-10</v>
      </c>
      <c r="H8" s="43">
        <f>VLOOKUP(F8,$B$8:$C$42,2,0)+G8</f>
        <v>41839062.58368247</v>
      </c>
      <c r="I8" s="65"/>
      <c r="J8"/>
      <c r="K8"/>
      <c r="R8"/>
      <c r="S8"/>
      <c r="T8"/>
      <c r="U8"/>
    </row>
    <row r="9" spans="1:21" x14ac:dyDescent="0.2">
      <c r="B9" s="42" t="s">
        <v>15</v>
      </c>
      <c r="C9" s="43">
        <f>'Reliquidación AR'!$P10+'Reliquidación AR'!L10</f>
        <v>38050656.1264368</v>
      </c>
      <c r="D9" s="64"/>
      <c r="E9" s="64"/>
      <c r="F9" s="42" t="s">
        <v>15</v>
      </c>
      <c r="G9" s="43">
        <v>6.9849193096160889E-10</v>
      </c>
      <c r="H9" s="43">
        <f>VLOOKUP(F9,$B$8:$C$42,2,0)+G9</f>
        <v>38050656.1264368</v>
      </c>
      <c r="I9" s="65"/>
      <c r="J9"/>
      <c r="K9"/>
      <c r="R9"/>
      <c r="S9"/>
      <c r="T9"/>
      <c r="U9"/>
    </row>
    <row r="10" spans="1:21" x14ac:dyDescent="0.2">
      <c r="B10" s="42" t="s">
        <v>16</v>
      </c>
      <c r="C10" s="43">
        <f>'Reliquidación AR'!$P11+'Reliquidación AR'!L11</f>
        <v>-2490653.0802061483</v>
      </c>
      <c r="D10" s="64"/>
      <c r="E10" s="64"/>
      <c r="F10" s="42" t="s">
        <v>16</v>
      </c>
      <c r="G10" s="43">
        <v>31290789.531519983</v>
      </c>
      <c r="H10" s="43">
        <f>VLOOKUP(F10,$B$8:$C$42,2,0)+G10</f>
        <v>28800136.451313835</v>
      </c>
      <c r="I10" s="65"/>
      <c r="J10"/>
      <c r="K10"/>
      <c r="R10"/>
      <c r="S10"/>
      <c r="T10"/>
      <c r="U10"/>
    </row>
    <row r="11" spans="1:21" x14ac:dyDescent="0.2">
      <c r="B11" s="42" t="s">
        <v>17</v>
      </c>
      <c r="C11" s="43">
        <f>'Reliquidación AR'!$P12+'Reliquidación AR'!L12</f>
        <v>816911.09600753128</v>
      </c>
      <c r="D11" s="64"/>
      <c r="E11" s="64"/>
      <c r="F11" s="42" t="s">
        <v>17</v>
      </c>
      <c r="G11" s="43">
        <v>-631567.14996550046</v>
      </c>
      <c r="H11" s="43">
        <f>VLOOKUP(F11,$B$8:$C$42,2,0)+G11</f>
        <v>185343.94604203082</v>
      </c>
      <c r="I11" s="65"/>
      <c r="J11"/>
      <c r="K11"/>
      <c r="Q11"/>
      <c r="R11"/>
      <c r="S11"/>
      <c r="T11"/>
      <c r="U11"/>
    </row>
    <row r="12" spans="1:21" x14ac:dyDescent="0.2">
      <c r="B12" s="42" t="s">
        <v>18</v>
      </c>
      <c r="C12" s="43">
        <f>'Reliquidación AR'!$P13+'Reliquidación AR'!L13</f>
        <v>41572897.936132804</v>
      </c>
      <c r="D12" s="64"/>
      <c r="E12" s="64"/>
      <c r="F12" s="42" t="s">
        <v>82</v>
      </c>
      <c r="G12" s="43">
        <v>33018487.536934797</v>
      </c>
      <c r="H12" s="43">
        <f>C12+C13+C14+C15+C16+C18+C19+C20+C37+C38+C39+G12</f>
        <v>75995580.293457493</v>
      </c>
      <c r="I12" s="65"/>
      <c r="J12"/>
      <c r="K12"/>
      <c r="Q12"/>
      <c r="R12"/>
      <c r="S12"/>
      <c r="T12"/>
      <c r="U12"/>
    </row>
    <row r="13" spans="1:21" x14ac:dyDescent="0.2">
      <c r="B13" s="42" t="s">
        <v>20</v>
      </c>
      <c r="C13" s="43">
        <f>'Reliquidación AR'!$P14+'Reliquidación AR'!L14</f>
        <v>-149443.25411127057</v>
      </c>
      <c r="D13" s="64"/>
      <c r="E13" s="64"/>
      <c r="F13" s="42" t="s">
        <v>83</v>
      </c>
      <c r="G13" s="43">
        <v>-44936687.05454094</v>
      </c>
      <c r="H13" s="43">
        <f>C17+G13</f>
        <v>-213712798.72283703</v>
      </c>
      <c r="I13" s="65"/>
      <c r="J13"/>
      <c r="K13"/>
      <c r="Q13"/>
      <c r="R13"/>
      <c r="S13"/>
      <c r="T13"/>
      <c r="U13"/>
    </row>
    <row r="14" spans="1:21" x14ac:dyDescent="0.2">
      <c r="B14" s="42" t="s">
        <v>21</v>
      </c>
      <c r="C14" s="43">
        <f>'Reliquidación AR'!$P15+'Reliquidación AR'!L15</f>
        <v>1959625.0907051095</v>
      </c>
      <c r="D14" s="64"/>
      <c r="E14" s="64"/>
      <c r="F14" s="42" t="s">
        <v>29</v>
      </c>
      <c r="G14" s="43">
        <v>-5.5879354476928711E-9</v>
      </c>
      <c r="H14" s="43">
        <f t="shared" ref="H14:H32" si="0">VLOOKUP(F14,$B$8:$C$42,2,0)+G14</f>
        <v>63592505.633892156</v>
      </c>
      <c r="I14" s="65"/>
      <c r="J14"/>
      <c r="K14"/>
      <c r="Q14"/>
      <c r="R14"/>
      <c r="S14"/>
      <c r="T14"/>
      <c r="U14"/>
    </row>
    <row r="15" spans="1:21" x14ac:dyDescent="0.2">
      <c r="B15" s="42" t="s">
        <v>22</v>
      </c>
      <c r="C15" s="43">
        <f>'Reliquidación AR'!$P16+'Reliquidación AR'!L16</f>
        <v>0</v>
      </c>
      <c r="D15" s="64"/>
      <c r="E15" s="64"/>
      <c r="F15" s="42" t="s">
        <v>30</v>
      </c>
      <c r="G15" s="43">
        <v>-5350097.73924598</v>
      </c>
      <c r="H15" s="43">
        <f t="shared" si="0"/>
        <v>-9177462.8244289588</v>
      </c>
      <c r="I15" s="65"/>
      <c r="J15"/>
      <c r="K15"/>
      <c r="Q15"/>
      <c r="R15"/>
      <c r="S15"/>
      <c r="T15"/>
      <c r="U15"/>
    </row>
    <row r="16" spans="1:21" x14ac:dyDescent="0.2">
      <c r="A16"/>
      <c r="B16" s="42" t="s">
        <v>23</v>
      </c>
      <c r="C16" s="43">
        <f>'Reliquidación AR'!$P17+'Reliquidación AR'!L17</f>
        <v>0</v>
      </c>
      <c r="D16" s="64"/>
      <c r="E16" s="64"/>
      <c r="F16" s="42" t="s">
        <v>31</v>
      </c>
      <c r="G16" s="43">
        <v>-1429255.3641597433</v>
      </c>
      <c r="H16" s="43">
        <f t="shared" si="0"/>
        <v>-2648683.1631636061</v>
      </c>
      <c r="I16" s="65"/>
      <c r="J16"/>
      <c r="K16"/>
      <c r="Q16"/>
      <c r="R16"/>
      <c r="S16"/>
      <c r="T16"/>
      <c r="U16"/>
    </row>
    <row r="17" spans="1:21" x14ac:dyDescent="0.2">
      <c r="B17" s="42" t="s">
        <v>24</v>
      </c>
      <c r="C17" s="43">
        <f>'Reliquidación AR'!$P18+'Reliquidación AR'!L18</f>
        <v>-168776111.6682961</v>
      </c>
      <c r="D17" s="64"/>
      <c r="E17" s="64"/>
      <c r="F17" s="42" t="s">
        <v>32</v>
      </c>
      <c r="G17" s="43">
        <v>-7283.713525606363</v>
      </c>
      <c r="H17" s="43">
        <f t="shared" si="0"/>
        <v>32816360.210918128</v>
      </c>
      <c r="I17" s="65"/>
      <c r="J17"/>
      <c r="K17"/>
      <c r="Q17"/>
      <c r="R17"/>
      <c r="S17"/>
      <c r="T17"/>
      <c r="U17"/>
    </row>
    <row r="18" spans="1:21" x14ac:dyDescent="0.2">
      <c r="B18" s="42" t="s">
        <v>26</v>
      </c>
      <c r="C18" s="43">
        <f>'Reliquidación AR'!$P19+'Reliquidación AR'!L19</f>
        <v>13034577.270000964</v>
      </c>
      <c r="D18" s="64"/>
      <c r="E18" s="64"/>
      <c r="F18" s="42" t="s">
        <v>33</v>
      </c>
      <c r="G18" s="43">
        <v>-660655.96925720386</v>
      </c>
      <c r="H18" s="43">
        <f t="shared" si="0"/>
        <v>22153175.810934193</v>
      </c>
      <c r="I18" s="65"/>
      <c r="J18"/>
      <c r="K18"/>
      <c r="Q18"/>
      <c r="R18"/>
      <c r="S18"/>
      <c r="T18"/>
      <c r="U18"/>
    </row>
    <row r="19" spans="1:21" x14ac:dyDescent="0.2">
      <c r="B19" s="42" t="s">
        <v>27</v>
      </c>
      <c r="C19" s="43">
        <f>'Reliquidación AR'!$P20+'Reliquidación AR'!L20</f>
        <v>1046104.6032751782</v>
      </c>
      <c r="D19" s="64"/>
      <c r="E19" s="64"/>
      <c r="F19" s="42" t="s">
        <v>34</v>
      </c>
      <c r="G19" s="43">
        <v>-378539.40151410212</v>
      </c>
      <c r="H19" s="43">
        <f t="shared" si="0"/>
        <v>-2127177.2917701053</v>
      </c>
      <c r="I19" s="65"/>
      <c r="J19"/>
      <c r="K19"/>
      <c r="Q19"/>
      <c r="R19"/>
      <c r="S19"/>
      <c r="T19"/>
      <c r="U19"/>
    </row>
    <row r="20" spans="1:21" x14ac:dyDescent="0.2">
      <c r="B20" s="42" t="s">
        <v>28</v>
      </c>
      <c r="C20" s="43">
        <f>'Reliquidación AR'!$P21+'Reliquidación AR'!L21</f>
        <v>0</v>
      </c>
      <c r="D20" s="64"/>
      <c r="E20" s="64"/>
      <c r="F20" s="42" t="s">
        <v>35</v>
      </c>
      <c r="G20" s="43">
        <v>1793425.8228268418</v>
      </c>
      <c r="H20" s="43">
        <f t="shared" si="0"/>
        <v>-10571792.620185565</v>
      </c>
      <c r="I20" s="65"/>
      <c r="J20"/>
      <c r="K20"/>
      <c r="Q20"/>
      <c r="R20"/>
      <c r="S20"/>
      <c r="T20"/>
      <c r="U20"/>
    </row>
    <row r="21" spans="1:21" x14ac:dyDescent="0.2">
      <c r="B21" s="42" t="s">
        <v>29</v>
      </c>
      <c r="C21" s="43">
        <f>'Reliquidación AR'!$P22+'Reliquidación AR'!L22</f>
        <v>63592505.633892164</v>
      </c>
      <c r="D21" s="64"/>
      <c r="E21" s="64"/>
      <c r="F21" s="42" t="s">
        <v>36</v>
      </c>
      <c r="G21" s="43">
        <v>-673153.99391184631</v>
      </c>
      <c r="H21" s="43">
        <f t="shared" si="0"/>
        <v>-2526961.9072795832</v>
      </c>
      <c r="I21" s="65"/>
      <c r="J21"/>
      <c r="K21"/>
      <c r="Q21"/>
      <c r="R21"/>
      <c r="S21"/>
      <c r="T21"/>
      <c r="U21"/>
    </row>
    <row r="22" spans="1:21" x14ac:dyDescent="0.2">
      <c r="B22" s="42" t="s">
        <v>30</v>
      </c>
      <c r="C22" s="43">
        <f>'Reliquidación AR'!$P23+'Reliquidación AR'!L23</f>
        <v>-3827365.0851829792</v>
      </c>
      <c r="D22" s="64"/>
      <c r="E22" s="64"/>
      <c r="F22" s="42" t="s">
        <v>37</v>
      </c>
      <c r="G22" s="43">
        <v>-8998735.781534072</v>
      </c>
      <c r="H22" s="43">
        <f t="shared" si="0"/>
        <v>-28866640.217798404</v>
      </c>
      <c r="I22" s="65"/>
      <c r="J22"/>
      <c r="K22"/>
      <c r="Q22"/>
      <c r="R22"/>
      <c r="S22"/>
      <c r="T22"/>
      <c r="U22"/>
    </row>
    <row r="23" spans="1:21" x14ac:dyDescent="0.2">
      <c r="B23" s="42" t="s">
        <v>31</v>
      </c>
      <c r="C23" s="43">
        <f>'Reliquidación AR'!$P24+'Reliquidación AR'!L24</f>
        <v>-1219427.7990038625</v>
      </c>
      <c r="D23" s="64"/>
      <c r="E23" s="64"/>
      <c r="F23" s="42" t="s">
        <v>38</v>
      </c>
      <c r="G23" s="43">
        <v>4539.9713371038379</v>
      </c>
      <c r="H23" s="43">
        <f t="shared" si="0"/>
        <v>-1500348.6072088233</v>
      </c>
      <c r="I23" s="65"/>
      <c r="J23"/>
      <c r="K23"/>
      <c r="Q23"/>
      <c r="R23"/>
      <c r="S23"/>
      <c r="T23"/>
      <c r="U23"/>
    </row>
    <row r="24" spans="1:21" x14ac:dyDescent="0.2">
      <c r="B24" s="42" t="s">
        <v>32</v>
      </c>
      <c r="C24" s="43">
        <f>'Reliquidación AR'!$P25+'Reliquidación AR'!L25</f>
        <v>32823643.924443737</v>
      </c>
      <c r="D24" s="64"/>
      <c r="E24" s="64"/>
      <c r="F24" s="42" t="s">
        <v>39</v>
      </c>
      <c r="G24" s="43">
        <v>-3148222.2476504399</v>
      </c>
      <c r="H24" s="43">
        <f t="shared" si="0"/>
        <v>-27343282.965903021</v>
      </c>
      <c r="I24" s="65"/>
      <c r="J24"/>
      <c r="K24"/>
      <c r="Q24"/>
      <c r="R24"/>
      <c r="S24"/>
      <c r="T24"/>
      <c r="U24"/>
    </row>
    <row r="25" spans="1:21" x14ac:dyDescent="0.2">
      <c r="B25" s="42" t="s">
        <v>33</v>
      </c>
      <c r="C25" s="43">
        <f>'Reliquidación AR'!$P26+'Reliquidación AR'!L26</f>
        <v>22813831.780191399</v>
      </c>
      <c r="D25" s="64"/>
      <c r="E25" s="64"/>
      <c r="F25" s="42" t="s">
        <v>40</v>
      </c>
      <c r="G25" s="43">
        <v>-682596.91102833068</v>
      </c>
      <c r="H25" s="43">
        <f t="shared" si="0"/>
        <v>-1163180.1697511468</v>
      </c>
      <c r="I25" s="65"/>
      <c r="J25"/>
      <c r="K25"/>
      <c r="Q25"/>
      <c r="R25"/>
      <c r="S25"/>
      <c r="T25"/>
      <c r="U25"/>
    </row>
    <row r="26" spans="1:21" x14ac:dyDescent="0.2">
      <c r="B26" s="42" t="s">
        <v>34</v>
      </c>
      <c r="C26" s="43">
        <f>'Reliquidación AR'!$P27+'Reliquidación AR'!L27</f>
        <v>-1748637.8902560032</v>
      </c>
      <c r="D26" s="64"/>
      <c r="E26" s="64"/>
      <c r="F26" s="42" t="s">
        <v>41</v>
      </c>
      <c r="G26" s="43">
        <v>-402255.91543259338</v>
      </c>
      <c r="H26" s="43">
        <f t="shared" si="0"/>
        <v>-1738196.7876275158</v>
      </c>
      <c r="I26" s="65"/>
      <c r="J26"/>
      <c r="K26"/>
      <c r="Q26"/>
      <c r="R26"/>
      <c r="S26"/>
      <c r="T26"/>
      <c r="U26"/>
    </row>
    <row r="27" spans="1:21" x14ac:dyDescent="0.2">
      <c r="B27" s="42" t="s">
        <v>35</v>
      </c>
      <c r="C27" s="43">
        <f>'Reliquidación AR'!$P28+'Reliquidación AR'!L28</f>
        <v>-12365218.443012407</v>
      </c>
      <c r="D27" s="64"/>
      <c r="E27" s="64"/>
      <c r="F27" s="42" t="s">
        <v>42</v>
      </c>
      <c r="G27" s="43">
        <v>494949.58438015624</v>
      </c>
      <c r="H27" s="43">
        <f t="shared" si="0"/>
        <v>-1108769.8278993941</v>
      </c>
      <c r="I27" s="65"/>
      <c r="J27"/>
      <c r="K27"/>
      <c r="Q27"/>
      <c r="R27"/>
      <c r="S27"/>
      <c r="T27"/>
      <c r="U27"/>
    </row>
    <row r="28" spans="1:21" x14ac:dyDescent="0.2">
      <c r="B28" s="42" t="s">
        <v>36</v>
      </c>
      <c r="C28" s="43">
        <f>'Reliquidación AR'!$P29+'Reliquidación AR'!L29</f>
        <v>-1853807.9133677369</v>
      </c>
      <c r="D28" s="64"/>
      <c r="E28" s="64"/>
      <c r="F28" s="42" t="s">
        <v>43</v>
      </c>
      <c r="G28" s="43">
        <v>745061.07993672881</v>
      </c>
      <c r="H28" s="43">
        <f t="shared" si="0"/>
        <v>-665980.05880277557</v>
      </c>
      <c r="I28" s="65"/>
      <c r="J28"/>
      <c r="K28"/>
      <c r="Q28"/>
      <c r="R28"/>
      <c r="S28"/>
      <c r="T28"/>
      <c r="U28"/>
    </row>
    <row r="29" spans="1:21" x14ac:dyDescent="0.2">
      <c r="A29"/>
      <c r="B29" s="42" t="s">
        <v>37</v>
      </c>
      <c r="C29" s="43">
        <f>'Reliquidación AR'!$P30+'Reliquidación AR'!L30</f>
        <v>-19867904.436264332</v>
      </c>
      <c r="D29" s="64"/>
      <c r="E29" s="64"/>
      <c r="F29" s="42" t="s">
        <v>45</v>
      </c>
      <c r="G29" s="43">
        <v>-50655.212759090944</v>
      </c>
      <c r="H29" s="43">
        <f t="shared" si="0"/>
        <v>-280075.86465857661</v>
      </c>
      <c r="I29" s="65"/>
      <c r="J29"/>
      <c r="K29"/>
      <c r="Q29"/>
      <c r="R29"/>
      <c r="S29"/>
      <c r="T29"/>
      <c r="U29"/>
    </row>
    <row r="30" spans="1:21" x14ac:dyDescent="0.2">
      <c r="B30" s="42" t="s">
        <v>38</v>
      </c>
      <c r="C30" s="43">
        <f>'Reliquidación AR'!$P31+'Reliquidación AR'!L31</f>
        <v>-1504888.5785459271</v>
      </c>
      <c r="D30" s="64"/>
      <c r="E30" s="64"/>
      <c r="F30" s="42" t="s">
        <v>49</v>
      </c>
      <c r="G30" s="43">
        <v>0</v>
      </c>
      <c r="H30" s="43">
        <f t="shared" si="0"/>
        <v>0</v>
      </c>
      <c r="I30" s="65"/>
      <c r="J30"/>
      <c r="K30"/>
      <c r="Q30"/>
      <c r="R30"/>
      <c r="S30"/>
      <c r="T30"/>
      <c r="U30"/>
    </row>
    <row r="31" spans="1:21" x14ac:dyDescent="0.2">
      <c r="A31"/>
      <c r="B31" s="42" t="s">
        <v>39</v>
      </c>
      <c r="C31" s="43">
        <f>'Reliquidación AR'!$P32+'Reliquidación AR'!L32</f>
        <v>-24195060.718252581</v>
      </c>
      <c r="D31" s="64"/>
      <c r="E31" s="64"/>
      <c r="F31" s="42" t="s">
        <v>50</v>
      </c>
      <c r="G31" s="43">
        <v>2438.0272500767214</v>
      </c>
      <c r="H31" s="43">
        <f t="shared" si="0"/>
        <v>2036.4662227756824</v>
      </c>
      <c r="I31" s="65"/>
      <c r="J31"/>
      <c r="K31"/>
      <c r="Q31"/>
      <c r="R31"/>
      <c r="S31"/>
      <c r="T31"/>
      <c r="U31"/>
    </row>
    <row r="32" spans="1:21" x14ac:dyDescent="0.2">
      <c r="A32"/>
      <c r="B32" s="42" t="s">
        <v>40</v>
      </c>
      <c r="C32" s="43">
        <f>'Reliquidación AR'!$P33+'Reliquidación AR'!L33</f>
        <v>-480583.25872281624</v>
      </c>
      <c r="D32" s="64"/>
      <c r="E32" s="64"/>
      <c r="F32" s="44" t="s">
        <v>51</v>
      </c>
      <c r="G32" s="43">
        <v>14.900343183096766</v>
      </c>
      <c r="H32" s="43">
        <f t="shared" si="0"/>
        <v>-3506.4935818651611</v>
      </c>
      <c r="I32" s="65"/>
      <c r="J32"/>
      <c r="K32"/>
      <c r="Q32"/>
      <c r="R32"/>
      <c r="S32"/>
      <c r="T32"/>
      <c r="U32"/>
    </row>
    <row r="33" spans="1:24" x14ac:dyDescent="0.2">
      <c r="A33"/>
      <c r="B33" s="42" t="s">
        <v>41</v>
      </c>
      <c r="C33" s="43">
        <f>'Reliquidación AR'!$P34+'Reliquidación AR'!L34</f>
        <v>-1335940.8721949225</v>
      </c>
      <c r="D33" s="64"/>
      <c r="E33" s="64"/>
      <c r="F33" s="46" t="s">
        <v>66</v>
      </c>
      <c r="G33" s="16">
        <f>SUM(G7:G32)</f>
        <v>3.4111733384634135E-6</v>
      </c>
      <c r="H33" s="16">
        <f>SUM(H7:H32)</f>
        <v>3.5275452319183387E-6</v>
      </c>
      <c r="I33"/>
      <c r="J33"/>
      <c r="K33"/>
      <c r="Q33"/>
      <c r="R33"/>
      <c r="S33"/>
      <c r="T33"/>
      <c r="U33"/>
    </row>
    <row r="34" spans="1:24" x14ac:dyDescent="0.2">
      <c r="B34" s="42" t="s">
        <v>42</v>
      </c>
      <c r="C34" s="43">
        <f>'Reliquidación AR'!$P35+'Reliquidación AR'!L35</f>
        <v>-1603719.4122795505</v>
      </c>
      <c r="D34" s="64"/>
      <c r="E34" s="64"/>
      <c r="F34" s="66"/>
      <c r="G34" s="66"/>
      <c r="H34" s="17"/>
      <c r="I34"/>
      <c r="J34"/>
      <c r="K34"/>
      <c r="Q34"/>
      <c r="R34"/>
      <c r="S34"/>
      <c r="T34"/>
      <c r="U34"/>
    </row>
    <row r="35" spans="1:24" x14ac:dyDescent="0.2">
      <c r="A35"/>
      <c r="B35" s="42" t="s">
        <v>43</v>
      </c>
      <c r="C35" s="43">
        <f>'Reliquidación AR'!$P36+'Reliquidación AR'!L36</f>
        <v>-1411041.1387395044</v>
      </c>
      <c r="D35" s="64"/>
      <c r="E35" s="64"/>
      <c r="F35" s="66"/>
      <c r="G35" s="67" t="s">
        <v>84</v>
      </c>
      <c r="H35" s="17"/>
      <c r="I35"/>
      <c r="J35"/>
      <c r="K35"/>
      <c r="Q35"/>
      <c r="R35"/>
      <c r="S35"/>
      <c r="T35"/>
      <c r="U35"/>
    </row>
    <row r="36" spans="1:24" x14ac:dyDescent="0.2">
      <c r="A36"/>
      <c r="B36" s="42" t="s">
        <v>45</v>
      </c>
      <c r="C36" s="43">
        <f>'Reliquidación AR'!$P37+'Reliquidación AR'!L37</f>
        <v>-229420.65189948565</v>
      </c>
      <c r="D36" s="64"/>
      <c r="E36" s="64"/>
      <c r="F36" s="64"/>
      <c r="G36" s="64"/>
      <c r="H36" s="64"/>
      <c r="I36" s="64"/>
      <c r="J36" s="64"/>
      <c r="K36" s="66"/>
      <c r="L36" s="66"/>
      <c r="M36" s="17"/>
      <c r="N36" s="17"/>
      <c r="O36" s="17"/>
      <c r="P36" s="54"/>
      <c r="Q36"/>
      <c r="R36"/>
      <c r="S36"/>
      <c r="T36"/>
      <c r="U36"/>
    </row>
    <row r="37" spans="1:24" x14ac:dyDescent="0.2">
      <c r="B37" s="42" t="s">
        <v>46</v>
      </c>
      <c r="C37" s="43">
        <f>'Reliquidación AR'!$P38+'Reliquidación AR'!L38</f>
        <v>-2576568.1573562012</v>
      </c>
      <c r="D37" s="64"/>
      <c r="E37" s="64"/>
      <c r="F37" s="64"/>
      <c r="G37" s="64"/>
      <c r="H37" s="64"/>
      <c r="I37" s="64"/>
      <c r="J37" s="64"/>
      <c r="K37" s="66"/>
      <c r="L37" s="66"/>
      <c r="M37" s="17"/>
      <c r="N37" s="17"/>
      <c r="O37" s="17"/>
      <c r="P37" s="54"/>
      <c r="Q37"/>
      <c r="R37"/>
      <c r="S37"/>
      <c r="T37"/>
      <c r="U37"/>
    </row>
    <row r="38" spans="1:24" x14ac:dyDescent="0.2">
      <c r="B38" s="42" t="s">
        <v>47</v>
      </c>
      <c r="C38" s="43">
        <f>'Reliquidación AR'!$P39+'Reliquidación AR'!L39</f>
        <v>-4139915.2631341917</v>
      </c>
      <c r="D38" s="64"/>
      <c r="E38" s="64"/>
      <c r="F38" s="64"/>
      <c r="G38" s="64"/>
      <c r="H38" s="64"/>
      <c r="I38" s="64"/>
      <c r="J38" s="64"/>
      <c r="K38" s="66"/>
      <c r="L38" s="66"/>
      <c r="M38" s="17"/>
      <c r="N38" s="17"/>
      <c r="O38" s="17"/>
      <c r="P38" s="54"/>
      <c r="Q38"/>
      <c r="R38"/>
      <c r="S38"/>
      <c r="T38"/>
      <c r="U38"/>
    </row>
    <row r="39" spans="1:24" x14ac:dyDescent="0.2">
      <c r="B39" s="42" t="s">
        <v>48</v>
      </c>
      <c r="C39" s="43">
        <f>'Reliquidación AR'!$P40+'Reliquidación AR'!L40</f>
        <v>-7770185.4689897019</v>
      </c>
      <c r="D39" s="64"/>
      <c r="E39" s="64"/>
      <c r="F39" s="64"/>
      <c r="G39" s="64"/>
      <c r="H39" s="64"/>
      <c r="I39" s="64"/>
      <c r="J39" s="64"/>
      <c r="K39" s="66"/>
      <c r="L39" s="66"/>
      <c r="M39" s="17"/>
      <c r="N39" s="17"/>
      <c r="O39" s="17"/>
      <c r="P39" s="54"/>
      <c r="Q39"/>
      <c r="R39"/>
      <c r="S39"/>
      <c r="T39"/>
      <c r="U39"/>
    </row>
    <row r="40" spans="1:24" x14ac:dyDescent="0.2">
      <c r="B40" s="42" t="s">
        <v>49</v>
      </c>
      <c r="C40" s="43">
        <f>'Reliquidación AR'!$P41+'Reliquidación AR'!L41</f>
        <v>0</v>
      </c>
      <c r="D40" s="64"/>
      <c r="E40" s="64"/>
      <c r="F40" s="64"/>
      <c r="G40" s="64"/>
      <c r="H40" s="64"/>
      <c r="I40" s="64"/>
      <c r="J40" s="64"/>
      <c r="K40" s="66"/>
      <c r="L40" s="66"/>
      <c r="M40" s="17"/>
      <c r="N40" s="17"/>
      <c r="O40" s="17"/>
      <c r="P40" s="54"/>
      <c r="Q40"/>
      <c r="R40"/>
      <c r="S40"/>
      <c r="T40"/>
      <c r="U40"/>
    </row>
    <row r="41" spans="1:24" x14ac:dyDescent="0.2">
      <c r="B41" s="42" t="s">
        <v>50</v>
      </c>
      <c r="C41" s="43">
        <f>'Reliquidación AR'!$P42+'Reliquidación AR'!L42</f>
        <v>-401.56102730103908</v>
      </c>
      <c r="D41" s="64"/>
      <c r="E41" s="64"/>
      <c r="F41" s="64"/>
      <c r="G41" s="64"/>
      <c r="H41" s="64"/>
      <c r="I41" s="64"/>
      <c r="J41" s="64"/>
      <c r="K41" s="66"/>
      <c r="L41" s="66"/>
      <c r="M41" s="17"/>
      <c r="N41" s="17"/>
      <c r="O41" s="17"/>
      <c r="P41" s="54"/>
      <c r="Q41"/>
      <c r="R41"/>
      <c r="S41"/>
      <c r="T41"/>
      <c r="U41"/>
    </row>
    <row r="42" spans="1:24" x14ac:dyDescent="0.2">
      <c r="B42" s="44" t="s">
        <v>51</v>
      </c>
      <c r="C42" s="43">
        <f>'Reliquidación AR'!$P43+'Reliquidación AR'!L43</f>
        <v>-3521.3939250482581</v>
      </c>
      <c r="D42" s="64"/>
      <c r="E42" s="64"/>
      <c r="F42" s="64"/>
      <c r="G42" s="64"/>
      <c r="H42" s="64"/>
      <c r="I42" s="64"/>
      <c r="J42" s="64"/>
      <c r="K42" s="66"/>
      <c r="L42" s="66"/>
      <c r="M42" s="17"/>
      <c r="N42" s="17"/>
      <c r="O42" s="17"/>
      <c r="P42" s="54"/>
      <c r="Q42"/>
      <c r="R42"/>
      <c r="S42"/>
      <c r="T42"/>
      <c r="U42"/>
      <c r="V42" s="66"/>
      <c r="W42" s="68"/>
      <c r="X42" s="68"/>
    </row>
    <row r="43" spans="1:24" x14ac:dyDescent="0.2">
      <c r="B43" s="46" t="s">
        <v>66</v>
      </c>
      <c r="C43" s="16">
        <f>SUM(C8:C42)</f>
        <v>8.7202352005988359E-8</v>
      </c>
      <c r="D43" s="69"/>
      <c r="E43" s="69"/>
      <c r="F43" s="69"/>
      <c r="G43" s="69"/>
      <c r="H43" s="69"/>
      <c r="I43" s="69"/>
      <c r="J43" s="69"/>
      <c r="K43" s="66"/>
      <c r="L43" s="66"/>
      <c r="M43" s="17"/>
      <c r="P43" s="54"/>
      <c r="Q43"/>
      <c r="R43"/>
      <c r="S43"/>
      <c r="T43"/>
      <c r="U43"/>
    </row>
    <row r="44" spans="1:24" x14ac:dyDescent="0.2">
      <c r="K44"/>
      <c r="L44"/>
      <c r="Q44"/>
      <c r="R44"/>
    </row>
    <row r="45" spans="1:24" x14ac:dyDescent="0.2">
      <c r="B45" s="66"/>
      <c r="C45" s="68"/>
      <c r="D45" s="68"/>
      <c r="E45" s="68"/>
      <c r="F45" s="68"/>
      <c r="G45" s="68"/>
      <c r="H45" s="68"/>
      <c r="I45" s="68"/>
      <c r="J45" s="68"/>
      <c r="K45"/>
      <c r="L45"/>
      <c r="N45"/>
      <c r="O45"/>
      <c r="Q45"/>
      <c r="R45"/>
    </row>
    <row r="46" spans="1:24" x14ac:dyDescent="0.2">
      <c r="B46"/>
      <c r="C46"/>
      <c r="D46"/>
      <c r="E46"/>
      <c r="F46"/>
      <c r="G46"/>
      <c r="H46"/>
      <c r="I46"/>
      <c r="J46"/>
      <c r="K46" s="17"/>
      <c r="L46" s="17"/>
      <c r="M46"/>
      <c r="N46"/>
      <c r="O46"/>
      <c r="P46"/>
      <c r="Q46"/>
      <c r="R46"/>
      <c r="S46"/>
      <c r="T46"/>
    </row>
    <row r="47" spans="1:24" x14ac:dyDescent="0.2">
      <c r="B47" s="19" t="s">
        <v>85</v>
      </c>
      <c r="C47"/>
      <c r="D47"/>
      <c r="E47"/>
      <c r="F47"/>
      <c r="G47"/>
      <c r="H47"/>
      <c r="I47"/>
      <c r="J47"/>
      <c r="K47" s="17"/>
      <c r="L47" s="17"/>
      <c r="M47"/>
      <c r="N47"/>
      <c r="O47"/>
      <c r="P47"/>
      <c r="Q47"/>
      <c r="R47"/>
      <c r="S47"/>
      <c r="T47"/>
    </row>
    <row r="48" spans="1:24" ht="15" x14ac:dyDescent="0.25">
      <c r="B48"/>
      <c r="C48" s="70"/>
      <c r="D48" s="70"/>
      <c r="E48" s="70"/>
      <c r="F48" s="70"/>
      <c r="G48" s="70"/>
      <c r="H48" s="70"/>
      <c r="I48" s="70"/>
      <c r="J48" s="70"/>
      <c r="K48"/>
      <c r="L48"/>
      <c r="M48"/>
      <c r="P48" s="70"/>
      <c r="Q48" s="70"/>
      <c r="R48" s="70"/>
      <c r="S48" s="70"/>
      <c r="T48" s="70"/>
    </row>
    <row r="49" spans="2:15" x14ac:dyDescent="0.2">
      <c r="B49" s="71" t="s">
        <v>86</v>
      </c>
      <c r="C49" s="72" t="s">
        <v>87</v>
      </c>
      <c r="D49" s="73"/>
      <c r="E49" s="73"/>
      <c r="F49" s="73"/>
      <c r="G49" s="73"/>
      <c r="H49" s="73"/>
      <c r="I49" s="73"/>
      <c r="J49" s="73"/>
      <c r="K49" s="74"/>
      <c r="L49" s="75" t="s">
        <v>52</v>
      </c>
      <c r="N49" s="76"/>
      <c r="O49" s="76"/>
    </row>
    <row r="50" spans="2:15" x14ac:dyDescent="0.2">
      <c r="B50" s="77"/>
      <c r="C50" s="49" t="s">
        <v>14</v>
      </c>
      <c r="D50" s="49" t="s">
        <v>15</v>
      </c>
      <c r="E50" s="78" t="s">
        <v>16</v>
      </c>
      <c r="F50" s="79" t="s">
        <v>17</v>
      </c>
      <c r="G50" s="79" t="s">
        <v>82</v>
      </c>
      <c r="H50" s="79" t="s">
        <v>29</v>
      </c>
      <c r="I50" s="79" t="s">
        <v>32</v>
      </c>
      <c r="J50" s="7" t="s">
        <v>33</v>
      </c>
      <c r="K50" s="78" t="s">
        <v>50</v>
      </c>
      <c r="L50" s="75"/>
      <c r="N50" s="22"/>
    </row>
    <row r="51" spans="2:15" x14ac:dyDescent="0.2">
      <c r="B51" s="79" t="s">
        <v>83</v>
      </c>
      <c r="C51" s="80" cm="1">
        <f t="array" ref="C51">(VLOOKUP($B51,$F$8:$H$33,3,0)*(-(VLOOKUP(C$50,$F$8:$H$33,3,0))))/SUMPRODUCT(($H$8:$H$33&gt;0)*($H$8:$H$33))</f>
        <v>29467752.102356277</v>
      </c>
      <c r="D51" s="80" cm="1">
        <f t="array" ref="D51">(VLOOKUP($B51,$F$8:$H$33,3,0)*(-(VLOOKUP(D$50,$F$8:$H$33,3,0))))/SUMPRODUCT(($H$8:$H$33&gt;0)*($H$8:$H$33))</f>
        <v>26799532.131562289</v>
      </c>
      <c r="E51" s="80" cm="1">
        <f t="array" ref="E51">(VLOOKUP($B51,$F$8:$H$33,3,0)*(-(VLOOKUP(E$50,$F$8:$H$33,3,0))))/SUMPRODUCT(($H$8:$H$33&gt;0)*($H$8:$H$33))</f>
        <v>20284280.503749628</v>
      </c>
      <c r="F51" s="80" cm="1">
        <f t="array" ref="F51">(VLOOKUP($B51,$F$8:$H$33,3,0)*(-(VLOOKUP(F$50,$F$8:$H$33,3,0))))/SUMPRODUCT(($H$8:$H$33&gt;0)*($H$8:$H$33))</f>
        <v>130539.95759859953</v>
      </c>
      <c r="G51" s="80" cm="1">
        <f t="array" ref="G51">(VLOOKUP($B51,$F$8:$H$33,3,0)*(-(VLOOKUP(G$50,$F$8:$H$33,3,0))))/SUMPRODUCT(($H$8:$H$33&gt;0)*($H$8:$H$33))</f>
        <v>53524595.979731791</v>
      </c>
      <c r="H51" s="80" cm="1">
        <f t="array" ref="H51">(VLOOKUP($B51,$F$8:$H$33,3,0)*(-(VLOOKUP(H$50,$F$8:$H$33,3,0))))/SUMPRODUCT(($H$8:$H$33&gt;0)*($H$8:$H$33))</f>
        <v>44788962.177132383</v>
      </c>
      <c r="I51" s="80" cm="1">
        <f t="array" ref="I51">(VLOOKUP($B51,$F$8:$H$33,3,0)*(-(VLOOKUP(I$50,$F$8:$H$33,3,0))))/SUMPRODUCT(($H$8:$H$33&gt;0)*($H$8:$H$33))</f>
        <v>23112954.924905747</v>
      </c>
      <c r="J51" s="80" cm="1">
        <f t="array" ref="J51">(VLOOKUP($B51,$F$8:$H$33,3,0)*(-(VLOOKUP(J$50,$F$8:$H$33,3,0))))/SUMPRODUCT(($H$8:$H$33&gt;0)*($H$8:$H$33))</f>
        <v>15602746.638284447</v>
      </c>
      <c r="K51" s="80" cm="1">
        <f t="array" ref="K51">(VLOOKUP($B51,$F$8:$H$33,3,0)*(-(VLOOKUP(K$50,$F$8:$H$33,3,0))))/SUMPRODUCT(($H$8:$H$33&gt;0)*($H$8:$H$33))</f>
        <v>1434.3075134044714</v>
      </c>
      <c r="L51" s="81">
        <f t="shared" ref="L51:L66" si="1">SUM(C51:K51)</f>
        <v>213712798.72283456</v>
      </c>
      <c r="M51" s="22"/>
      <c r="N51" s="17"/>
    </row>
    <row r="52" spans="2:15" x14ac:dyDescent="0.2">
      <c r="B52" s="78" t="s">
        <v>30</v>
      </c>
      <c r="C52" s="80" cm="1">
        <f t="array" ref="C52">(VLOOKUP($B52,$F$8:$H$33,3,0)*(-(VLOOKUP(C$50,$F$8:$H$33,3,0))))/SUMPRODUCT(($H$8:$H$33&gt;0)*($H$8:$H$33))</f>
        <v>1265432.8662346243</v>
      </c>
      <c r="D52" s="80" cm="1">
        <f t="array" ref="D52">(VLOOKUP($B52,$F$8:$H$33,3,0)*(-(VLOOKUP(D$50,$F$8:$H$33,3,0))))/SUMPRODUCT(($H$8:$H$33&gt;0)*($H$8:$H$33))</f>
        <v>1150851.5695799561</v>
      </c>
      <c r="E52" s="80" cm="1">
        <f t="array" ref="E52">(VLOOKUP($B52,$F$8:$H$33,3,0)*(-(VLOOKUP(E$50,$F$8:$H$33,3,0))))/SUMPRODUCT(($H$8:$H$33&gt;0)*($H$8:$H$33))</f>
        <v>871067.29852374876</v>
      </c>
      <c r="F52" s="80" cm="1">
        <f t="array" ref="F52">(VLOOKUP($B52,$F$8:$H$33,3,0)*(-(VLOOKUP(F$50,$F$8:$H$33,3,0))))/SUMPRODUCT(($H$8:$H$33&gt;0)*($H$8:$H$33))</f>
        <v>5605.7738007417738</v>
      </c>
      <c r="G52" s="80" cm="1">
        <f t="array" ref="G52">(VLOOKUP($B52,$F$8:$H$33,3,0)*(-(VLOOKUP(G$50,$F$8:$H$33,3,0))))/SUMPRODUCT(($H$8:$H$33&gt;0)*($H$8:$H$33))</f>
        <v>2298505.2497189404</v>
      </c>
      <c r="H52" s="80" cm="1">
        <f t="array" ref="H52">(VLOOKUP($B52,$F$8:$H$33,3,0)*(-(VLOOKUP(H$50,$F$8:$H$33,3,0))))/SUMPRODUCT(($H$8:$H$33&gt;0)*($H$8:$H$33))</f>
        <v>1923371.1681370775</v>
      </c>
      <c r="I52" s="80" cm="1">
        <f t="array" ref="I52">(VLOOKUP($B52,$F$8:$H$33,3,0)*(-(VLOOKUP(I$50,$F$8:$H$33,3,0))))/SUMPRODUCT(($H$8:$H$33&gt;0)*($H$8:$H$33))</f>
        <v>992538.98621729156</v>
      </c>
      <c r="J52" s="80" cm="1">
        <f t="array" ref="J52">(VLOOKUP($B52,$F$8:$H$33,3,0)*(-(VLOOKUP(J$50,$F$8:$H$33,3,0))))/SUMPRODUCT(($H$8:$H$33&gt;0)*($H$8:$H$33))</f>
        <v>670028.31878846185</v>
      </c>
      <c r="K52" s="80" cm="1">
        <f t="array" ref="K52">(VLOOKUP($B52,$F$8:$H$33,3,0)*(-(VLOOKUP(K$50,$F$8:$H$33,3,0))))/SUMPRODUCT(($H$8:$H$33&gt;0)*($H$8:$H$33))</f>
        <v>61.593428010552117</v>
      </c>
      <c r="L52" s="81">
        <f t="shared" si="1"/>
        <v>9177462.8244288526</v>
      </c>
      <c r="M52" s="17"/>
      <c r="N52" s="17"/>
    </row>
    <row r="53" spans="2:15" x14ac:dyDescent="0.2">
      <c r="B53" s="78" t="s">
        <v>31</v>
      </c>
      <c r="C53" s="80" cm="1">
        <f t="array" ref="C53">(VLOOKUP($B53,$F$8:$H$33,3,0)*(-(VLOOKUP(C$50,$F$8:$H$33,3,0))))/SUMPRODUCT(($H$8:$H$33&gt;0)*($H$8:$H$33))</f>
        <v>365213.21753412439</v>
      </c>
      <c r="D53" s="80" cm="1">
        <f t="array" ref="D53">(VLOOKUP($B53,$F$8:$H$33,3,0)*(-(VLOOKUP(D$50,$F$8:$H$33,3,0))))/SUMPRODUCT(($H$8:$H$33&gt;0)*($H$8:$H$33))</f>
        <v>332144.21392510593</v>
      </c>
      <c r="E53" s="80" cm="1">
        <f t="array" ref="E53">(VLOOKUP($B53,$F$8:$H$33,3,0)*(-(VLOOKUP(E$50,$F$8:$H$33,3,0))))/SUMPRODUCT(($H$8:$H$33&gt;0)*($H$8:$H$33))</f>
        <v>251396.41878373048</v>
      </c>
      <c r="F53" s="80" cm="1">
        <f t="array" ref="F53">(VLOOKUP($B53,$F$8:$H$33,3,0)*(-(VLOOKUP(F$50,$F$8:$H$33,3,0))))/SUMPRODUCT(($H$8:$H$33&gt;0)*($H$8:$H$33))</f>
        <v>1617.8674832662437</v>
      </c>
      <c r="G53" s="80" cm="1">
        <f t="array" ref="G53">(VLOOKUP($B53,$F$8:$H$33,3,0)*(-(VLOOKUP(G$50,$F$8:$H$33,3,0))))/SUMPRODUCT(($H$8:$H$33&gt;0)*($H$8:$H$33))</f>
        <v>663365.49347477488</v>
      </c>
      <c r="H53" s="80" cm="1">
        <f t="array" ref="H53">(VLOOKUP($B53,$F$8:$H$33,3,0)*(-(VLOOKUP(H$50,$F$8:$H$33,3,0))))/SUMPRODUCT(($H$8:$H$33&gt;0)*($H$8:$H$33))</f>
        <v>555099.0428420481</v>
      </c>
      <c r="I53" s="80" cm="1">
        <f t="array" ref="I53">(VLOOKUP($B53,$F$8:$H$33,3,0)*(-(VLOOKUP(I$50,$F$8:$H$33,3,0))))/SUMPRODUCT(($H$8:$H$33&gt;0)*($H$8:$H$33))</f>
        <v>286454.03984415391</v>
      </c>
      <c r="J53" s="80" cm="1">
        <f t="array" ref="J53">(VLOOKUP($B53,$F$8:$H$33,3,0)*(-(VLOOKUP(J$50,$F$8:$H$33,3,0))))/SUMPRODUCT(($H$8:$H$33&gt;0)*($H$8:$H$33))</f>
        <v>193375.09296075426</v>
      </c>
      <c r="K53" s="80" cm="1">
        <f t="array" ref="K53">(VLOOKUP($B53,$F$8:$H$33,3,0)*(-(VLOOKUP(K$50,$F$8:$H$33,3,0))))/SUMPRODUCT(($H$8:$H$33&gt;0)*($H$8:$H$33))</f>
        <v>17.776315617299169</v>
      </c>
      <c r="L53" s="81">
        <f t="shared" si="1"/>
        <v>2648683.1631635758</v>
      </c>
      <c r="M53" s="17"/>
      <c r="N53" s="17"/>
    </row>
    <row r="54" spans="2:15" x14ac:dyDescent="0.2">
      <c r="B54" s="78" t="s">
        <v>34</v>
      </c>
      <c r="C54" s="80" cm="1">
        <f t="array" ref="C54">(VLOOKUP($B54,$F$8:$H$33,3,0)*(-(VLOOKUP(C$50,$F$8:$H$33,3,0))))/SUMPRODUCT(($H$8:$H$33&gt;0)*($H$8:$H$33))</f>
        <v>293305.47111002216</v>
      </c>
      <c r="D54" s="80" cm="1">
        <f t="array" ref="D54">(VLOOKUP($B54,$F$8:$H$33,3,0)*(-(VLOOKUP(D$50,$F$8:$H$33,3,0))))/SUMPRODUCT(($H$8:$H$33&gt;0)*($H$8:$H$33))</f>
        <v>266747.50656489743</v>
      </c>
      <c r="E54" s="80" cm="1">
        <f t="array" ref="E54">(VLOOKUP($B54,$F$8:$H$33,3,0)*(-(VLOOKUP(E$50,$F$8:$H$33,3,0))))/SUMPRODUCT(($H$8:$H$33&gt;0)*($H$8:$H$33))</f>
        <v>201898.34733964634</v>
      </c>
      <c r="F54" s="80" cm="1">
        <f t="array" ref="F54">(VLOOKUP($B54,$F$8:$H$33,3,0)*(-(VLOOKUP(F$50,$F$8:$H$33,3,0))))/SUMPRODUCT(($H$8:$H$33&gt;0)*($H$8:$H$33))</f>
        <v>1299.3214965683787</v>
      </c>
      <c r="G54" s="80" cm="1">
        <f t="array" ref="G54">(VLOOKUP($B54,$F$8:$H$33,3,0)*(-(VLOOKUP(G$50,$F$8:$H$33,3,0))))/SUMPRODUCT(($H$8:$H$33&gt;0)*($H$8:$H$33))</f>
        <v>532753.79761843162</v>
      </c>
      <c r="H54" s="80" cm="1">
        <f t="array" ref="H54">(VLOOKUP($B54,$F$8:$H$33,3,0)*(-(VLOOKUP(H$50,$F$8:$H$33,3,0))))/SUMPRODUCT(($H$8:$H$33&gt;0)*($H$8:$H$33))</f>
        <v>445804.20000351296</v>
      </c>
      <c r="I54" s="80" cm="1">
        <f t="array" ref="I54">(VLOOKUP($B54,$F$8:$H$33,3,0)*(-(VLOOKUP(I$50,$F$8:$H$33,3,0))))/SUMPRODUCT(($H$8:$H$33&gt;0)*($H$8:$H$33))</f>
        <v>230053.38545834032</v>
      </c>
      <c r="J54" s="80" cm="1">
        <f t="array" ref="J54">(VLOOKUP($B54,$F$8:$H$33,3,0)*(-(VLOOKUP(J$50,$F$8:$H$33,3,0))))/SUMPRODUCT(($H$8:$H$33&gt;0)*($H$8:$H$33))</f>
        <v>155300.98588641247</v>
      </c>
      <c r="K54" s="80" cm="1">
        <f t="array" ref="K54">(VLOOKUP($B54,$F$8:$H$33,3,0)*(-(VLOOKUP(K$50,$F$8:$H$33,3,0))))/SUMPRODUCT(($H$8:$H$33&gt;0)*($H$8:$H$33))</f>
        <v>14.276292249048204</v>
      </c>
      <c r="L54" s="81">
        <f t="shared" si="1"/>
        <v>2127177.291770081</v>
      </c>
      <c r="M54" s="17"/>
      <c r="N54" s="17"/>
    </row>
    <row r="55" spans="2:15" x14ac:dyDescent="0.2">
      <c r="B55" s="79" t="s">
        <v>35</v>
      </c>
      <c r="C55" s="80" cm="1">
        <f t="array" ref="C55">(VLOOKUP($B55,$F$8:$H$33,3,0)*(-(VLOOKUP(C$50,$F$8:$H$33,3,0))))/SUMPRODUCT(($H$8:$H$33&gt;0)*($H$8:$H$33))</f>
        <v>1457689.7877471782</v>
      </c>
      <c r="D55" s="80" cm="1">
        <f t="array" ref="D55">(VLOOKUP($B55,$F$8:$H$33,3,0)*(-(VLOOKUP(D$50,$F$8:$H$33,3,0))))/SUMPRODUCT(($H$8:$H$33&gt;0)*($H$8:$H$33))</f>
        <v>1325700.1812994417</v>
      </c>
      <c r="E55" s="80" cm="1">
        <f t="array" ref="E55">(VLOOKUP($B55,$F$8:$H$33,3,0)*(-(VLOOKUP(E$50,$F$8:$H$33,3,0))))/SUMPRODUCT(($H$8:$H$33&gt;0)*($H$8:$H$33))</f>
        <v>1003408.3509122067</v>
      </c>
      <c r="F55" s="80" cm="1">
        <f t="array" ref="F55">(VLOOKUP($B55,$F$8:$H$33,3,0)*(-(VLOOKUP(F$50,$F$8:$H$33,3,0))))/SUMPRODUCT(($H$8:$H$33&gt;0)*($H$8:$H$33))</f>
        <v>6457.4577125349397</v>
      </c>
      <c r="G55" s="80" cm="1">
        <f t="array" ref="G55">(VLOOKUP($B55,$F$8:$H$33,3,0)*(-(VLOOKUP(G$50,$F$8:$H$33,3,0))))/SUMPRODUCT(($H$8:$H$33&gt;0)*($H$8:$H$33))</f>
        <v>2647716.618557747</v>
      </c>
      <c r="H55" s="80" cm="1">
        <f t="array" ref="H55">(VLOOKUP($B55,$F$8:$H$33,3,0)*(-(VLOOKUP(H$50,$F$8:$H$33,3,0))))/SUMPRODUCT(($H$8:$H$33&gt;0)*($H$8:$H$33))</f>
        <v>2215588.5030734995</v>
      </c>
      <c r="I55" s="80" cm="1">
        <f t="array" ref="I55">(VLOOKUP($B55,$F$8:$H$33,3,0)*(-(VLOOKUP(I$50,$F$8:$H$33,3,0))))/SUMPRODUCT(($H$8:$H$33&gt;0)*($H$8:$H$33))</f>
        <v>1143335.2039092914</v>
      </c>
      <c r="J55" s="80" cm="1">
        <f t="array" ref="J55">(VLOOKUP($B55,$F$8:$H$33,3,0)*(-(VLOOKUP(J$50,$F$8:$H$33,3,0))))/SUMPRODUCT(($H$8:$H$33&gt;0)*($H$8:$H$33))</f>
        <v>771825.56567031867</v>
      </c>
      <c r="K55" s="80" cm="1">
        <f t="array" ref="K55">(VLOOKUP($B55,$F$8:$H$33,3,0)*(-(VLOOKUP(K$50,$F$8:$H$33,3,0))))/SUMPRODUCT(($H$8:$H$33&gt;0)*($H$8:$H$33))</f>
        <v>70.951303225181064</v>
      </c>
      <c r="L55" s="81">
        <f t="shared" si="1"/>
        <v>10571792.620185444</v>
      </c>
      <c r="M55" s="17"/>
      <c r="N55" s="17"/>
    </row>
    <row r="56" spans="2:15" x14ac:dyDescent="0.2">
      <c r="B56" s="79" t="s">
        <v>36</v>
      </c>
      <c r="C56" s="80" cm="1">
        <f t="array" ref="C56">(VLOOKUP($B56,$F$8:$H$33,3,0)*(-(VLOOKUP(C$50,$F$8:$H$33,3,0))))/SUMPRODUCT(($H$8:$H$33&gt;0)*($H$8:$H$33))</f>
        <v>348429.70332527428</v>
      </c>
      <c r="D56" s="80" cm="1">
        <f t="array" ref="D56">(VLOOKUP($B56,$F$8:$H$33,3,0)*(-(VLOOKUP(D$50,$F$8:$H$33,3,0))))/SUMPRODUCT(($H$8:$H$33&gt;0)*($H$8:$H$33))</f>
        <v>316880.39852587687</v>
      </c>
      <c r="E56" s="80" cm="1">
        <f t="array" ref="E56">(VLOOKUP($B56,$F$8:$H$33,3,0)*(-(VLOOKUP(E$50,$F$8:$H$33,3,0))))/SUMPRODUCT(($H$8:$H$33&gt;0)*($H$8:$H$33))</f>
        <v>239843.39944012868</v>
      </c>
      <c r="F56" s="80" cm="1">
        <f t="array" ref="F56">(VLOOKUP($B56,$F$8:$H$33,3,0)*(-(VLOOKUP(F$50,$F$8:$H$33,3,0))))/SUMPRODUCT(($H$8:$H$33&gt;0)*($H$8:$H$33))</f>
        <v>1543.5177593521621</v>
      </c>
      <c r="G56" s="80" cm="1">
        <f t="array" ref="G56">(VLOOKUP($B56,$F$8:$H$33,3,0)*(-(VLOOKUP(G$50,$F$8:$H$33,3,0))))/SUMPRODUCT(($H$8:$H$33&gt;0)*($H$8:$H$33))</f>
        <v>632880.27648134972</v>
      </c>
      <c r="H56" s="80" cm="1">
        <f t="array" ref="H56">(VLOOKUP($B56,$F$8:$H$33,3,0)*(-(VLOOKUP(H$50,$F$8:$H$33,3,0))))/SUMPRODUCT(($H$8:$H$33&gt;0)*($H$8:$H$33))</f>
        <v>529589.25232635264</v>
      </c>
      <c r="I56" s="80" cm="1">
        <f t="array" ref="I56">(VLOOKUP($B56,$F$8:$H$33,3,0)*(-(VLOOKUP(I$50,$F$8:$H$33,3,0))))/SUMPRODUCT(($H$8:$H$33&gt;0)*($H$8:$H$33))</f>
        <v>273289.93400929961</v>
      </c>
      <c r="J56" s="80" cm="1">
        <f t="array" ref="J56">(VLOOKUP($B56,$F$8:$H$33,3,0)*(-(VLOOKUP(J$50,$F$8:$H$33,3,0))))/SUMPRODUCT(($H$8:$H$33&gt;0)*($H$8:$H$33))</f>
        <v>184488.46601373999</v>
      </c>
      <c r="K56" s="80" cm="1">
        <f t="array" ref="K56">(VLOOKUP($B56,$F$8:$H$33,3,0)*(-(VLOOKUP(K$50,$F$8:$H$33,3,0))))/SUMPRODUCT(($H$8:$H$33&gt;0)*($H$8:$H$33))</f>
        <v>16.95939817997759</v>
      </c>
      <c r="L56" s="81">
        <f t="shared" si="1"/>
        <v>2526961.9072795534</v>
      </c>
      <c r="M56" s="17"/>
      <c r="N56" s="17"/>
    </row>
    <row r="57" spans="2:15" x14ac:dyDescent="0.2">
      <c r="B57" s="79" t="s">
        <v>37</v>
      </c>
      <c r="C57" s="80" cm="1">
        <f t="array" ref="C57">(VLOOKUP($B57,$F$8:$H$33,3,0)*(-(VLOOKUP(C$50,$F$8:$H$33,3,0))))/SUMPRODUCT(($H$8:$H$33&gt;0)*($H$8:$H$33))</f>
        <v>3980271.6685638237</v>
      </c>
      <c r="D57" s="80" cm="1">
        <f t="array" ref="D57">(VLOOKUP($B57,$F$8:$H$33,3,0)*(-(VLOOKUP(D$50,$F$8:$H$33,3,0))))/SUMPRODUCT(($H$8:$H$33&gt;0)*($H$8:$H$33))</f>
        <v>3619869.5476840874</v>
      </c>
      <c r="E57" s="80" cm="1">
        <f t="array" ref="E57">(VLOOKUP($B57,$F$8:$H$33,3,0)*(-(VLOOKUP(E$50,$F$8:$H$33,3,0))))/SUMPRODUCT(($H$8:$H$33&gt;0)*($H$8:$H$33))</f>
        <v>2739840.7155671827</v>
      </c>
      <c r="F57" s="80" cm="1">
        <f t="array" ref="F57">(VLOOKUP($B57,$F$8:$H$33,3,0)*(-(VLOOKUP(F$50,$F$8:$H$33,3,0))))/SUMPRODUCT(($H$8:$H$33&gt;0)*($H$8:$H$33))</f>
        <v>17632.308465214825</v>
      </c>
      <c r="G57" s="80" cm="1">
        <f t="array" ref="G57">(VLOOKUP($B57,$F$8:$H$33,3,0)*(-(VLOOKUP(G$50,$F$8:$H$33,3,0))))/SUMPRODUCT(($H$8:$H$33&gt;0)*($H$8:$H$33))</f>
        <v>7229680.5066585466</v>
      </c>
      <c r="H57" s="80" cm="1">
        <f t="array" ref="H57">(VLOOKUP($B57,$F$8:$H$33,3,0)*(-(VLOOKUP(H$50,$F$8:$H$33,3,0))))/SUMPRODUCT(($H$8:$H$33&gt;0)*($H$8:$H$33))</f>
        <v>6049739.9529759809</v>
      </c>
      <c r="I57" s="80" cm="1">
        <f t="array" ref="I57">(VLOOKUP($B57,$F$8:$H$33,3,0)*(-(VLOOKUP(I$50,$F$8:$H$33,3,0))))/SUMPRODUCT(($H$8:$H$33&gt;0)*($H$8:$H$33))</f>
        <v>3121915.7587876869</v>
      </c>
      <c r="J57" s="80" cm="1">
        <f t="array" ref="J57">(VLOOKUP($B57,$F$8:$H$33,3,0)*(-(VLOOKUP(J$50,$F$8:$H$33,3,0))))/SUMPRODUCT(($H$8:$H$33&gt;0)*($H$8:$H$33))</f>
        <v>2107496.0241428525</v>
      </c>
      <c r="K57" s="80" cm="1">
        <f t="array" ref="K57">(VLOOKUP($B57,$F$8:$H$33,3,0)*(-(VLOOKUP(K$50,$F$8:$H$33,3,0))))/SUMPRODUCT(($H$8:$H$33&gt;0)*($H$8:$H$33))</f>
        <v>193.73495269615597</v>
      </c>
      <c r="L57" s="81">
        <f t="shared" si="1"/>
        <v>28866640.217798073</v>
      </c>
      <c r="M57" s="17"/>
      <c r="N57" s="17"/>
    </row>
    <row r="58" spans="2:15" x14ac:dyDescent="0.2">
      <c r="B58" s="79" t="s">
        <v>38</v>
      </c>
      <c r="C58" s="80" cm="1">
        <f t="array" ref="C58">(VLOOKUP($B58,$F$8:$H$33,3,0)*(-(VLOOKUP(C$50,$F$8:$H$33,3,0))))/SUMPRODUCT(($H$8:$H$33&gt;0)*($H$8:$H$33))</f>
        <v>206875.30690046921</v>
      </c>
      <c r="D58" s="80" cm="1">
        <f t="array" ref="D58">(VLOOKUP($B58,$F$8:$H$33,3,0)*(-(VLOOKUP(D$50,$F$8:$H$33,3,0))))/SUMPRODUCT(($H$8:$H$33&gt;0)*($H$8:$H$33))</f>
        <v>188143.34446849837</v>
      </c>
      <c r="E58" s="80" cm="1">
        <f t="array" ref="E58">(VLOOKUP($B58,$F$8:$H$33,3,0)*(-(VLOOKUP(E$50,$F$8:$H$33,3,0))))/SUMPRODUCT(($H$8:$H$33&gt;0)*($H$8:$H$33))</f>
        <v>142403.6940412861</v>
      </c>
      <c r="F58" s="80" cm="1">
        <f t="array" ref="F58">(VLOOKUP($B58,$F$8:$H$33,3,0)*(-(VLOOKUP(F$50,$F$8:$H$33,3,0))))/SUMPRODUCT(($H$8:$H$33&gt;0)*($H$8:$H$33))</f>
        <v>916.44227551463371</v>
      </c>
      <c r="G58" s="80" cm="1">
        <f t="array" ref="G58">(VLOOKUP($B58,$F$8:$H$33,3,0)*(-(VLOOKUP(G$50,$F$8:$H$33,3,0))))/SUMPRODUCT(($H$8:$H$33&gt;0)*($H$8:$H$33))</f>
        <v>375763.89205287327</v>
      </c>
      <c r="H58" s="80" cm="1">
        <f t="array" ref="H58">(VLOOKUP($B58,$F$8:$H$33,3,0)*(-(VLOOKUP(H$50,$F$8:$H$33,3,0))))/SUMPRODUCT(($H$8:$H$33&gt;0)*($H$8:$H$33))</f>
        <v>314436.27813764836</v>
      </c>
      <c r="I58" s="80" cm="1">
        <f t="array" ref="I58">(VLOOKUP($B58,$F$8:$H$33,3,0)*(-(VLOOKUP(I$50,$F$8:$H$33,3,0))))/SUMPRODUCT(($H$8:$H$33&gt;0)*($H$8:$H$33))</f>
        <v>162262.11035229434</v>
      </c>
      <c r="J58" s="80" cm="1">
        <f t="array" ref="J58">(VLOOKUP($B58,$F$8:$H$33,3,0)*(-(VLOOKUP(J$50,$F$8:$H$33,3,0))))/SUMPRODUCT(($H$8:$H$33&gt;0)*($H$8:$H$33))</f>
        <v>109537.46957262</v>
      </c>
      <c r="K58" s="80" cm="1">
        <f t="array" ref="K58">(VLOOKUP($B58,$F$8:$H$33,3,0)*(-(VLOOKUP(K$50,$F$8:$H$33,3,0))))/SUMPRODUCT(($H$8:$H$33&gt;0)*($H$8:$H$33))</f>
        <v>10.069407601724482</v>
      </c>
      <c r="L58" s="81">
        <f t="shared" si="1"/>
        <v>1500348.6072088061</v>
      </c>
      <c r="M58" s="17"/>
      <c r="N58" s="17"/>
    </row>
    <row r="59" spans="2:15" x14ac:dyDescent="0.2">
      <c r="B59" s="79" t="s">
        <v>39</v>
      </c>
      <c r="C59" s="80" cm="1">
        <f t="array" ref="C59">(VLOOKUP($B59,$F$8:$H$33,3,0)*(-(VLOOKUP(C$50,$F$8:$H$33,3,0))))/SUMPRODUCT(($H$8:$H$33&gt;0)*($H$8:$H$33))</f>
        <v>3770223.8186903242</v>
      </c>
      <c r="D59" s="80" cm="1">
        <f t="array" ref="D59">(VLOOKUP($B59,$F$8:$H$33,3,0)*(-(VLOOKUP(D$50,$F$8:$H$33,3,0))))/SUMPRODUCT(($H$8:$H$33&gt;0)*($H$8:$H$33))</f>
        <v>3428840.9248594674</v>
      </c>
      <c r="E59" s="80" cm="1">
        <f t="array" ref="E59">(VLOOKUP($B59,$F$8:$H$33,3,0)*(-(VLOOKUP(E$50,$F$8:$H$33,3,0))))/SUMPRODUCT(($H$8:$H$33&gt;0)*($H$8:$H$33))</f>
        <v>2595253.1850611535</v>
      </c>
      <c r="F59" s="80" cm="1">
        <f t="array" ref="F59">(VLOOKUP($B59,$F$8:$H$33,3,0)*(-(VLOOKUP(F$50,$F$8:$H$33,3,0))))/SUMPRODUCT(($H$8:$H$33&gt;0)*($H$8:$H$33))</f>
        <v>16701.812059485557</v>
      </c>
      <c r="G59" s="80" cm="1">
        <f t="array" ref="G59">(VLOOKUP($B59,$F$8:$H$33,3,0)*(-(VLOOKUP(G$50,$F$8:$H$33,3,0))))/SUMPRODUCT(($H$8:$H$33&gt;0)*($H$8:$H$33))</f>
        <v>6848154.0752619877</v>
      </c>
      <c r="H59" s="80" cm="1">
        <f t="array" ref="H59">(VLOOKUP($B59,$F$8:$H$33,3,0)*(-(VLOOKUP(H$50,$F$8:$H$33,3,0))))/SUMPRODUCT(($H$8:$H$33&gt;0)*($H$8:$H$33))</f>
        <v>5730481.6271052435</v>
      </c>
      <c r="I59" s="80" cm="1">
        <f t="array" ref="I59">(VLOOKUP($B59,$F$8:$H$33,3,0)*(-(VLOOKUP(I$50,$F$8:$H$33,3,0))))/SUMPRODUCT(($H$8:$H$33&gt;0)*($H$8:$H$33))</f>
        <v>2957165.2725837748</v>
      </c>
      <c r="J59" s="80" cm="1">
        <f t="array" ref="J59">(VLOOKUP($B59,$F$8:$H$33,3,0)*(-(VLOOKUP(J$50,$F$8:$H$33,3,0))))/SUMPRODUCT(($H$8:$H$33&gt;0)*($H$8:$H$33))</f>
        <v>1996278.7391559002</v>
      </c>
      <c r="K59" s="80" cm="1">
        <f t="array" ref="K59">(VLOOKUP($B59,$F$8:$H$33,3,0)*(-(VLOOKUP(K$50,$F$8:$H$33,3,0))))/SUMPRODUCT(($H$8:$H$33&gt;0)*($H$8:$H$33))</f>
        <v>183.51112536784328</v>
      </c>
      <c r="L59" s="81">
        <f t="shared" si="1"/>
        <v>27343282.965902705</v>
      </c>
      <c r="M59" s="17"/>
      <c r="N59" s="17"/>
    </row>
    <row r="60" spans="2:15" x14ac:dyDescent="0.2">
      <c r="B60" s="79" t="s">
        <v>40</v>
      </c>
      <c r="C60" s="80" cm="1">
        <f t="array" ref="C60">(VLOOKUP($B60,$F$8:$H$33,3,0)*(-(VLOOKUP(C$50,$F$8:$H$33,3,0))))/SUMPRODUCT(($H$8:$H$33&gt;0)*($H$8:$H$33))</f>
        <v>160384.89551136451</v>
      </c>
      <c r="D60" s="80" cm="1">
        <f t="array" ref="D60">(VLOOKUP($B60,$F$8:$H$33,3,0)*(-(VLOOKUP(D$50,$F$8:$H$33,3,0))))/SUMPRODUCT(($H$8:$H$33&gt;0)*($H$8:$H$33))</f>
        <v>145862.50575694168</v>
      </c>
      <c r="E60" s="80" cm="1">
        <f t="array" ref="E60">(VLOOKUP($B60,$F$8:$H$33,3,0)*(-(VLOOKUP(E$50,$F$8:$H$33,3,0))))/SUMPRODUCT(($H$8:$H$33&gt;0)*($H$8:$H$33))</f>
        <v>110401.77743510185</v>
      </c>
      <c r="F60" s="80" cm="1">
        <f t="array" ref="F60">(VLOOKUP($B60,$F$8:$H$33,3,0)*(-(VLOOKUP(F$50,$F$8:$H$33,3,0))))/SUMPRODUCT(($H$8:$H$33&gt;0)*($H$8:$H$33))</f>
        <v>710.49319903282412</v>
      </c>
      <c r="G60" s="80" cm="1">
        <f t="array" ref="G60">(VLOOKUP($B60,$F$8:$H$33,3,0)*(-(VLOOKUP(G$50,$F$8:$H$33,3,0))))/SUMPRODUCT(($H$8:$H$33&gt;0)*($H$8:$H$33))</f>
        <v>291319.70106436632</v>
      </c>
      <c r="H60" s="80" cm="1">
        <f t="array" ref="H60">(VLOOKUP($B60,$F$8:$H$33,3,0)*(-(VLOOKUP(H$50,$F$8:$H$33,3,0))))/SUMPRODUCT(($H$8:$H$33&gt;0)*($H$8:$H$33))</f>
        <v>243774.04132795846</v>
      </c>
      <c r="I60" s="80" cm="1">
        <f t="array" ref="I60">(VLOOKUP($B60,$F$8:$H$33,3,0)*(-(VLOOKUP(I$50,$F$8:$H$33,3,0))))/SUMPRODUCT(($H$8:$H$33&gt;0)*($H$8:$H$33))</f>
        <v>125797.47677100461</v>
      </c>
      <c r="J60" s="80" cm="1">
        <f t="array" ref="J60">(VLOOKUP($B60,$F$8:$H$33,3,0)*(-(VLOOKUP(J$50,$F$8:$H$33,3,0))))/SUMPRODUCT(($H$8:$H$33&gt;0)*($H$8:$H$33))</f>
        <v>84921.472142812214</v>
      </c>
      <c r="K60" s="80" cm="1">
        <f t="array" ref="K60">(VLOOKUP($B60,$F$8:$H$33,3,0)*(-(VLOOKUP(K$50,$F$8:$H$33,3,0))))/SUMPRODUCT(($H$8:$H$33&gt;0)*($H$8:$H$33))</f>
        <v>7.8065425509720772</v>
      </c>
      <c r="L60" s="81">
        <f t="shared" si="1"/>
        <v>1163180.1697511335</v>
      </c>
      <c r="M60" s="17"/>
      <c r="N60" s="17"/>
    </row>
    <row r="61" spans="2:15" x14ac:dyDescent="0.2">
      <c r="B61" s="79" t="s">
        <v>41</v>
      </c>
      <c r="C61" s="80" cm="1">
        <f t="array" ref="C61">(VLOOKUP($B61,$F$8:$H$33,3,0)*(-(VLOOKUP(C$50,$F$8:$H$33,3,0))))/SUMPRODUCT(($H$8:$H$33&gt;0)*($H$8:$H$33))</f>
        <v>239670.9619125225</v>
      </c>
      <c r="D61" s="80" cm="1">
        <f t="array" ref="D61">(VLOOKUP($B61,$F$8:$H$33,3,0)*(-(VLOOKUP(D$50,$F$8:$H$33,3,0))))/SUMPRODUCT(($H$8:$H$33&gt;0)*($H$8:$H$33))</f>
        <v>217969.44749862651</v>
      </c>
      <c r="E61" s="80" cm="1">
        <f t="array" ref="E61">(VLOOKUP($B61,$F$8:$H$33,3,0)*(-(VLOOKUP(E$50,$F$8:$H$33,3,0))))/SUMPRODUCT(($H$8:$H$33&gt;0)*($H$8:$H$33))</f>
        <v>164978.75383064471</v>
      </c>
      <c r="F61" s="80" cm="1">
        <f t="array" ref="F61">(VLOOKUP($B61,$F$8:$H$33,3,0)*(-(VLOOKUP(F$50,$F$8:$H$33,3,0))))/SUMPRODUCT(($H$8:$H$33&gt;0)*($H$8:$H$33))</f>
        <v>1061.7245963316805</v>
      </c>
      <c r="G61" s="80" cm="1">
        <f t="array" ref="G61">(VLOOKUP($B61,$F$8:$H$33,3,0)*(-(VLOOKUP(G$50,$F$8:$H$33,3,0))))/SUMPRODUCT(($H$8:$H$33&gt;0)*($H$8:$H$33))</f>
        <v>435333.21984935814</v>
      </c>
      <c r="H61" s="80" cm="1">
        <f t="array" ref="H61">(VLOOKUP($B61,$F$8:$H$33,3,0)*(-(VLOOKUP(H$50,$F$8:$H$33,3,0))))/SUMPRODUCT(($H$8:$H$33&gt;0)*($H$8:$H$33))</f>
        <v>364283.42449638544</v>
      </c>
      <c r="I61" s="80" cm="1">
        <f t="array" ref="I61">(VLOOKUP($B61,$F$8:$H$33,3,0)*(-(VLOOKUP(I$50,$F$8:$H$33,3,0))))/SUMPRODUCT(($H$8:$H$33&gt;0)*($H$8:$H$33))</f>
        <v>187985.29729215379</v>
      </c>
      <c r="J61" s="80" cm="1">
        <f t="array" ref="J61">(VLOOKUP($B61,$F$8:$H$33,3,0)*(-(VLOOKUP(J$50,$F$8:$H$33,3,0))))/SUMPRODUCT(($H$8:$H$33&gt;0)*($H$8:$H$33))</f>
        <v>126902.29245467263</v>
      </c>
      <c r="K61" s="80" cm="1">
        <f t="array" ref="K61">(VLOOKUP($B61,$F$8:$H$33,3,0)*(-(VLOOKUP(K$50,$F$8:$H$33,3,0))))/SUMPRODUCT(($H$8:$H$33&gt;0)*($H$8:$H$33))</f>
        <v>11.66569680041934</v>
      </c>
      <c r="L61" s="81">
        <f t="shared" si="1"/>
        <v>1738196.7876274961</v>
      </c>
      <c r="M61" s="17"/>
      <c r="N61" s="17"/>
    </row>
    <row r="62" spans="2:15" x14ac:dyDescent="0.2">
      <c r="B62" s="79" t="s">
        <v>42</v>
      </c>
      <c r="C62" s="80" cm="1">
        <f t="array" ref="C62">(VLOOKUP($B62,$F$8:$H$33,3,0)*(-(VLOOKUP(C$50,$F$8:$H$33,3,0))))/SUMPRODUCT(($H$8:$H$33&gt;0)*($H$8:$H$33))</f>
        <v>152882.53498324618</v>
      </c>
      <c r="D62" s="80" cm="1">
        <f t="array" ref="D62">(VLOOKUP($B62,$F$8:$H$33,3,0)*(-(VLOOKUP(D$50,$F$8:$H$33,3,0))))/SUMPRODUCT(($H$8:$H$33&gt;0)*($H$8:$H$33))</f>
        <v>139039.46233858081</v>
      </c>
      <c r="E62" s="80" cm="1">
        <f t="array" ref="E62">(VLOOKUP($B62,$F$8:$H$33,3,0)*(-(VLOOKUP(E$50,$F$8:$H$33,3,0))))/SUMPRODUCT(($H$8:$H$33&gt;0)*($H$8:$H$33))</f>
        <v>105237.48852483771</v>
      </c>
      <c r="F62" s="80" cm="1">
        <f t="array" ref="F62">(VLOOKUP($B62,$F$8:$H$33,3,0)*(-(VLOOKUP(F$50,$F$8:$H$33,3,0))))/SUMPRODUCT(($H$8:$H$33&gt;0)*($H$8:$H$33))</f>
        <v>677.25829798478446</v>
      </c>
      <c r="G62" s="80" cm="1">
        <f t="array" ref="G62">(VLOOKUP($B62,$F$8:$H$33,3,0)*(-(VLOOKUP(G$50,$F$8:$H$33,3,0))))/SUMPRODUCT(($H$8:$H$33&gt;0)*($H$8:$H$33))</f>
        <v>277692.57352620194</v>
      </c>
      <c r="H62" s="80" cm="1">
        <f t="array" ref="H62">(VLOOKUP($B62,$F$8:$H$33,3,0)*(-(VLOOKUP(H$50,$F$8:$H$33,3,0))))/SUMPRODUCT(($H$8:$H$33&gt;0)*($H$8:$H$33))</f>
        <v>232370.96786765766</v>
      </c>
      <c r="I62" s="80" cm="1">
        <f t="array" ref="I62">(VLOOKUP($B62,$F$8:$H$33,3,0)*(-(VLOOKUP(I$50,$F$8:$H$33,3,0))))/SUMPRODUCT(($H$8:$H$33&gt;0)*($H$8:$H$33))</f>
        <v>119913.01975119258</v>
      </c>
      <c r="J62" s="80" cm="1">
        <f t="array" ref="J62">(VLOOKUP($B62,$F$8:$H$33,3,0)*(-(VLOOKUP(J$50,$F$8:$H$33,3,0))))/SUMPRODUCT(($H$8:$H$33&gt;0)*($H$8:$H$33))</f>
        <v>80949.081235535108</v>
      </c>
      <c r="K62" s="80" cm="1">
        <f t="array" ref="K62">(VLOOKUP($B62,$F$8:$H$33,3,0)*(-(VLOOKUP(K$50,$F$8:$H$33,3,0))))/SUMPRODUCT(($H$8:$H$33&gt;0)*($H$8:$H$33))</f>
        <v>7.441374144628357</v>
      </c>
      <c r="L62" s="81">
        <f t="shared" si="1"/>
        <v>1108769.8278993813</v>
      </c>
      <c r="M62" s="17"/>
      <c r="N62" s="17"/>
    </row>
    <row r="63" spans="2:15" x14ac:dyDescent="0.2">
      <c r="B63" s="79" t="s">
        <v>43</v>
      </c>
      <c r="C63" s="80" cm="1">
        <f t="array" ref="C63">(VLOOKUP($B63,$F$8:$H$33,3,0)*(-(VLOOKUP(C$50,$F$8:$H$33,3,0))))/SUMPRODUCT(($H$8:$H$33&gt;0)*($H$8:$H$33))</f>
        <v>91828.544641186047</v>
      </c>
      <c r="D63" s="80" cm="1">
        <f t="array" ref="D63">(VLOOKUP($B63,$F$8:$H$33,3,0)*(-(VLOOKUP(D$50,$F$8:$H$33,3,0))))/SUMPRODUCT(($H$8:$H$33&gt;0)*($H$8:$H$33))</f>
        <v>83513.73474834158</v>
      </c>
      <c r="E63" s="80" cm="1">
        <f t="array" ref="E63">(VLOOKUP($B63,$F$8:$H$33,3,0)*(-(VLOOKUP(E$50,$F$8:$H$33,3,0))))/SUMPRODUCT(($H$8:$H$33&gt;0)*($H$8:$H$33))</f>
        <v>63210.656560531155</v>
      </c>
      <c r="F63" s="80" cm="1">
        <f t="array" ref="F63">(VLOOKUP($B63,$F$8:$H$33,3,0)*(-(VLOOKUP(F$50,$F$8:$H$33,3,0))))/SUMPRODUCT(($H$8:$H$33&gt;0)*($H$8:$H$33))</f>
        <v>406.79364622600485</v>
      </c>
      <c r="G63" s="80" cm="1">
        <f t="array" ref="G63">(VLOOKUP($B63,$F$8:$H$33,3,0)*(-(VLOOKUP(G$50,$F$8:$H$33,3,0))))/SUMPRODUCT(($H$8:$H$33&gt;0)*($H$8:$H$33))</f>
        <v>166795.40856233926</v>
      </c>
      <c r="H63" s="80" cm="1">
        <f t="array" ref="H63">(VLOOKUP($B63,$F$8:$H$33,3,0)*(-(VLOOKUP(H$50,$F$8:$H$33,3,0))))/SUMPRODUCT(($H$8:$H$33&gt;0)*($H$8:$H$33))</f>
        <v>139573.08987903158</v>
      </c>
      <c r="I63" s="80" cm="1">
        <f t="array" ref="I63">(VLOOKUP($B63,$F$8:$H$33,3,0)*(-(VLOOKUP(I$50,$F$8:$H$33,3,0))))/SUMPRODUCT(($H$8:$H$33&gt;0)*($H$8:$H$33))</f>
        <v>72025.480794706295</v>
      </c>
      <c r="J63" s="80" cm="1">
        <f t="array" ref="J63">(VLOOKUP($B63,$F$8:$H$33,3,0)*(-(VLOOKUP(J$50,$F$8:$H$33,3,0))))/SUMPRODUCT(($H$8:$H$33&gt;0)*($H$8:$H$33))</f>
        <v>48621.880326061662</v>
      </c>
      <c r="K63" s="80" cm="1">
        <f t="array" ref="K63">(VLOOKUP($B63,$F$8:$H$33,3,0)*(-(VLOOKUP(K$50,$F$8:$H$33,3,0))))/SUMPRODUCT(($H$8:$H$33&gt;0)*($H$8:$H$33))</f>
        <v>4.4696443443108551</v>
      </c>
      <c r="L63" s="81">
        <f t="shared" si="1"/>
        <v>665980.05880276777</v>
      </c>
      <c r="M63" s="17"/>
      <c r="N63" s="17"/>
    </row>
    <row r="64" spans="2:15" x14ac:dyDescent="0.2">
      <c r="B64" s="79" t="s">
        <v>45</v>
      </c>
      <c r="C64" s="80" cm="1">
        <f t="array" ref="C64">(VLOOKUP($B64,$F$8:$H$33,3,0)*(-(VLOOKUP(C$50,$F$8:$H$33,3,0))))/SUMPRODUCT(($H$8:$H$33&gt;0)*($H$8:$H$33))</f>
        <v>38618.211913061707</v>
      </c>
      <c r="D64" s="80" cm="1">
        <f t="array" ref="D64">(VLOOKUP($B64,$F$8:$H$33,3,0)*(-(VLOOKUP(D$50,$F$8:$H$33,3,0))))/SUMPRODUCT(($H$8:$H$33&gt;0)*($H$8:$H$33))</f>
        <v>35121.444195426862</v>
      </c>
      <c r="E64" s="80" cm="1">
        <f t="array" ref="E64">(VLOOKUP($B64,$F$8:$H$33,3,0)*(-(VLOOKUP(E$50,$F$8:$H$33,3,0))))/SUMPRODUCT(($H$8:$H$33&gt;0)*($H$8:$H$33))</f>
        <v>26583.047131550702</v>
      </c>
      <c r="F64" s="80" cm="1">
        <f t="array" ref="F64">(VLOOKUP($B64,$F$8:$H$33,3,0)*(-(VLOOKUP(F$50,$F$8:$H$33,3,0))))/SUMPRODUCT(($H$8:$H$33&gt;0)*($H$8:$H$33))</f>
        <v>171.07581630774285</v>
      </c>
      <c r="G64" s="80" cm="1">
        <f t="array" ref="G64">(VLOOKUP($B64,$F$8:$H$33,3,0)*(-(VLOOKUP(G$50,$F$8:$H$33,3,0))))/SUMPRODUCT(($H$8:$H$33&gt;0)*($H$8:$H$33))</f>
        <v>70145.295878914738</v>
      </c>
      <c r="H64" s="80" cm="1">
        <f t="array" ref="H64">(VLOOKUP($B64,$F$8:$H$33,3,0)*(-(VLOOKUP(H$50,$F$8:$H$33,3,0))))/SUMPRODUCT(($H$8:$H$33&gt;0)*($H$8:$H$33))</f>
        <v>58697.033513604772</v>
      </c>
      <c r="I64" s="80" cm="1">
        <f t="array" ref="I64">(VLOOKUP($B64,$F$8:$H$33,3,0)*(-(VLOOKUP(I$50,$F$8:$H$33,3,0))))/SUMPRODUCT(($H$8:$H$33&gt;0)*($H$8:$H$33))</f>
        <v>30290.094342000441</v>
      </c>
      <c r="J64" s="80" cm="1">
        <f t="array" ref="J64">(VLOOKUP($B64,$F$8:$H$33,3,0)*(-(VLOOKUP(J$50,$F$8:$H$33,3,0))))/SUMPRODUCT(($H$8:$H$33&gt;0)*($H$8:$H$33))</f>
        <v>20447.782172529518</v>
      </c>
      <c r="K64" s="80" cm="1">
        <f t="array" ref="K64">(VLOOKUP($B64,$F$8:$H$33,3,0)*(-(VLOOKUP(K$50,$F$8:$H$33,3,0))))/SUMPRODUCT(($H$8:$H$33&gt;0)*($H$8:$H$33))</f>
        <v>1.8796951769090451</v>
      </c>
      <c r="L64" s="81">
        <f t="shared" si="1"/>
        <v>280075.86465857335</v>
      </c>
      <c r="M64" s="17"/>
      <c r="N64" s="17"/>
    </row>
    <row r="65" spans="2:19" x14ac:dyDescent="0.2">
      <c r="B65" s="79" t="s">
        <v>49</v>
      </c>
      <c r="C65" s="80" cm="1">
        <f t="array" ref="C65">(VLOOKUP($B65,$F$8:$H$33,3,0)*(-(VLOOKUP(C$50,$F$8:$H$33,3,0))))/SUMPRODUCT(($H$8:$H$33&gt;0)*($H$8:$H$33))</f>
        <v>0</v>
      </c>
      <c r="D65" s="80" cm="1">
        <f t="array" ref="D65">(VLOOKUP($B65,$F$8:$H$33,3,0)*(-(VLOOKUP(D$50,$F$8:$H$33,3,0))))/SUMPRODUCT(($H$8:$H$33&gt;0)*($H$8:$H$33))</f>
        <v>0</v>
      </c>
      <c r="E65" s="80" cm="1">
        <f t="array" ref="E65">(VLOOKUP($B65,$F$8:$H$33,3,0)*(-(VLOOKUP(E$50,$F$8:$H$33,3,0))))/SUMPRODUCT(($H$8:$H$33&gt;0)*($H$8:$H$33))</f>
        <v>0</v>
      </c>
      <c r="F65" s="80" cm="1">
        <f t="array" ref="F65">(VLOOKUP($B65,$F$8:$H$33,3,0)*(-(VLOOKUP(F$50,$F$8:$H$33,3,0))))/SUMPRODUCT(($H$8:$H$33&gt;0)*($H$8:$H$33))</f>
        <v>0</v>
      </c>
      <c r="G65" s="80" cm="1">
        <f t="array" ref="G65">(VLOOKUP($B65,$F$8:$H$33,3,0)*(-(VLOOKUP(G$50,$F$8:$H$33,3,0))))/SUMPRODUCT(($H$8:$H$33&gt;0)*($H$8:$H$33))</f>
        <v>0</v>
      </c>
      <c r="H65" s="80" cm="1">
        <f t="array" ref="H65">(VLOOKUP($B65,$F$8:$H$33,3,0)*(-(VLOOKUP(H$50,$F$8:$H$33,3,0))))/SUMPRODUCT(($H$8:$H$33&gt;0)*($H$8:$H$33))</f>
        <v>0</v>
      </c>
      <c r="I65" s="80" cm="1">
        <f t="array" ref="I65">(VLOOKUP($B65,$F$8:$H$33,3,0)*(-(VLOOKUP(I$50,$F$8:$H$33,3,0))))/SUMPRODUCT(($H$8:$H$33&gt;0)*($H$8:$H$33))</f>
        <v>0</v>
      </c>
      <c r="J65" s="80" cm="1">
        <f t="array" ref="J65">(VLOOKUP($B65,$F$8:$H$33,3,0)*(-(VLOOKUP(J$50,$F$8:$H$33,3,0))))/SUMPRODUCT(($H$8:$H$33&gt;0)*($H$8:$H$33))</f>
        <v>0</v>
      </c>
      <c r="K65" s="80" cm="1">
        <f t="array" ref="K65">(VLOOKUP($B65,$F$8:$H$33,3,0)*(-(VLOOKUP(K$50,$F$8:$H$33,3,0))))/SUMPRODUCT(($H$8:$H$33&gt;0)*($H$8:$H$33))</f>
        <v>0</v>
      </c>
      <c r="L65" s="81">
        <f t="shared" si="1"/>
        <v>0</v>
      </c>
      <c r="M65" s="17"/>
      <c r="N65" s="17"/>
    </row>
    <row r="66" spans="2:19" x14ac:dyDescent="0.2">
      <c r="B66" s="79" t="s">
        <v>51</v>
      </c>
      <c r="C66" s="80" cm="1">
        <f t="array" ref="C66">(VLOOKUP($B66,$F$8:$H$33,3,0)*(-(VLOOKUP(C$50,$F$8:$H$33,3,0))))/SUMPRODUCT(($H$8:$H$33&gt;0)*($H$8:$H$33))</f>
        <v>483.4922580042201</v>
      </c>
      <c r="D66" s="80" cm="1">
        <f t="array" ref="D66">(VLOOKUP($B66,$F$8:$H$33,3,0)*(-(VLOOKUP(D$50,$F$8:$H$33,3,0))))/SUMPRODUCT(($H$8:$H$33&gt;0)*($H$8:$H$33))</f>
        <v>439.71342838565602</v>
      </c>
      <c r="E66" s="80" cm="1">
        <f t="array" ref="E66">(VLOOKUP($B66,$F$8:$H$33,3,0)*(-(VLOOKUP(E$50,$F$8:$H$33,3,0))))/SUMPRODUCT(($H$8:$H$33&gt;0)*($H$8:$H$33))</f>
        <v>332.81441179100608</v>
      </c>
      <c r="F66" s="80" cm="1">
        <f t="array" ref="F66">(VLOOKUP($B66,$F$8:$H$33,3,0)*(-(VLOOKUP(F$50,$F$8:$H$33,3,0))))/SUMPRODUCT(($H$8:$H$33&gt;0)*($H$8:$H$33))</f>
        <v>2.1418348654451758</v>
      </c>
      <c r="G66" s="80" cm="1">
        <f t="array" ref="G66">(VLOOKUP($B66,$F$8:$H$33,3,0)*(-(VLOOKUP(G$50,$F$8:$H$33,3,0))))/SUMPRODUCT(($H$8:$H$33&gt;0)*($H$8:$H$33))</f>
        <v>878.20501811995462</v>
      </c>
      <c r="H66" s="80" cm="1">
        <f t="array" ref="H66">(VLOOKUP($B66,$F$8:$H$33,3,0)*(-(VLOOKUP(H$50,$F$8:$H$33,3,0))))/SUMPRODUCT(($H$8:$H$33&gt;0)*($H$8:$H$33))</f>
        <v>734.87507229829657</v>
      </c>
      <c r="I66" s="80" cm="1">
        <f t="array" ref="I66">(VLOOKUP($B66,$F$8:$H$33,3,0)*(-(VLOOKUP(I$50,$F$8:$H$33,3,0))))/SUMPRODUCT(($H$8:$H$33&gt;0)*($H$8:$H$33))</f>
        <v>379.22589843216713</v>
      </c>
      <c r="J66" s="80" cm="1">
        <f t="array" ref="J66">(VLOOKUP($B66,$F$8:$H$33,3,0)*(-(VLOOKUP(J$50,$F$8:$H$33,3,0))))/SUMPRODUCT(($H$8:$H$33&gt;0)*($H$8:$H$33))</f>
        <v>256.00212656223243</v>
      </c>
      <c r="K66" s="80" cm="1">
        <f t="array" ref="K66">(VLOOKUP($B66,$F$8:$H$33,3,0)*(-(VLOOKUP(K$50,$F$8:$H$33,3,0))))/SUMPRODUCT(($H$8:$H$33&gt;0)*($H$8:$H$33))</f>
        <v>2.3533406142401167E-2</v>
      </c>
      <c r="L66" s="81">
        <f t="shared" si="1"/>
        <v>3506.4935818651206</v>
      </c>
      <c r="M66" s="17"/>
      <c r="N66" s="17"/>
    </row>
    <row r="67" spans="2:19" x14ac:dyDescent="0.2">
      <c r="B67" s="7" t="s">
        <v>52</v>
      </c>
      <c r="C67" s="82">
        <f t="shared" ref="C67:L67" si="2">SUM(C51:C66)</f>
        <v>41839062.583681509</v>
      </c>
      <c r="D67" s="82">
        <f t="shared" si="2"/>
        <v>38050656.126435913</v>
      </c>
      <c r="E67" s="82">
        <f t="shared" si="2"/>
        <v>28800136.451313168</v>
      </c>
      <c r="F67" s="82">
        <f t="shared" si="2"/>
        <v>185343.94604202651</v>
      </c>
      <c r="G67" s="82">
        <f t="shared" si="2"/>
        <v>75995580.293455735</v>
      </c>
      <c r="H67" s="82">
        <f t="shared" si="2"/>
        <v>63592505.633890681</v>
      </c>
      <c r="I67" s="82">
        <f t="shared" si="2"/>
        <v>32816360.210917369</v>
      </c>
      <c r="J67" s="82">
        <f t="shared" si="2"/>
        <v>22153175.810933679</v>
      </c>
      <c r="K67" s="82">
        <f t="shared" si="2"/>
        <v>2036.4662227756353</v>
      </c>
      <c r="L67" s="82">
        <f t="shared" si="2"/>
        <v>303434857.52289289</v>
      </c>
      <c r="M67" s="17"/>
      <c r="N67" s="83"/>
    </row>
    <row r="68" spans="2:19" x14ac:dyDescent="0.2">
      <c r="B68"/>
      <c r="C68" s="17"/>
      <c r="D68" s="17"/>
      <c r="E68" s="17"/>
      <c r="F68" s="17"/>
      <c r="G68" s="17"/>
      <c r="H68" s="17"/>
      <c r="I68" s="17"/>
      <c r="J68" s="17"/>
      <c r="M68" s="83"/>
      <c r="S68" s="17"/>
    </row>
    <row r="69" spans="2:19" x14ac:dyDescent="0.2">
      <c r="B69" s="19"/>
      <c r="C69" s="83"/>
      <c r="D69" s="83"/>
      <c r="E69" s="83"/>
      <c r="F69" s="83"/>
      <c r="G69" s="83"/>
      <c r="H69" s="83"/>
      <c r="I69" s="83"/>
      <c r="J69" s="83"/>
      <c r="L69" s="84">
        <f t="array" ref="L69">-SUMPRODUCT(($H$8:$H$33&lt;0)*($H$8:$H$33))</f>
        <v>303434857.52289647</v>
      </c>
    </row>
    <row r="70" spans="2:19" x14ac:dyDescent="0.2">
      <c r="B70"/>
      <c r="C70"/>
      <c r="D70"/>
      <c r="E70"/>
      <c r="F70"/>
      <c r="G70"/>
      <c r="H70"/>
      <c r="I70"/>
      <c r="J70"/>
      <c r="L70" s="85">
        <f>L67-L69</f>
        <v>-3.5762786865234375E-6</v>
      </c>
    </row>
    <row r="71" spans="2:19" x14ac:dyDescent="0.2">
      <c r="B71"/>
      <c r="C71"/>
      <c r="D71"/>
      <c r="E71"/>
      <c r="F71"/>
      <c r="G71"/>
      <c r="H71"/>
      <c r="I71"/>
      <c r="J71"/>
      <c r="L71" s="85">
        <f>L67-K6</f>
        <v>-6.9737434387207031E-6</v>
      </c>
    </row>
  </sheetData>
  <mergeCells count="9">
    <mergeCell ref="K6:K7"/>
    <mergeCell ref="B49:B50"/>
    <mergeCell ref="C49:K49"/>
    <mergeCell ref="B6:B7"/>
    <mergeCell ref="C6:C7"/>
    <mergeCell ref="F6:F7"/>
    <mergeCell ref="G6:G7"/>
    <mergeCell ref="H6:H7"/>
    <mergeCell ref="J6:J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B0718-351B-4B4E-8BFD-056BBAC2396B}">
  <sheetPr codeName="Hoja7">
    <tabColor theme="9" tint="0.59999389629810485"/>
  </sheetPr>
  <dimension ref="B2:Q52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6.5703125" style="20" customWidth="1"/>
    <col min="2" max="2" width="24.85546875" style="20" customWidth="1"/>
    <col min="3" max="3" width="11.5703125" style="20" bestFit="1" customWidth="1"/>
    <col min="4" max="4" width="13.140625" style="20" bestFit="1" customWidth="1"/>
    <col min="5" max="5" width="12.5703125" style="20" customWidth="1"/>
    <col min="6" max="6" width="12.28515625" style="20" customWidth="1"/>
    <col min="7" max="7" width="14" style="20" customWidth="1"/>
    <col min="8" max="8" width="13.7109375" style="20" customWidth="1"/>
    <col min="9" max="9" width="13" style="20" customWidth="1"/>
    <col min="10" max="10" width="12.5703125" style="20" customWidth="1"/>
    <col min="11" max="11" width="12.140625" style="20" customWidth="1"/>
    <col min="12" max="12" width="13.140625" style="20" bestFit="1" customWidth="1"/>
    <col min="13" max="13" width="13.5703125" style="20" customWidth="1"/>
    <col min="14" max="14" width="13.140625" style="20" bestFit="1" customWidth="1"/>
    <col min="15" max="15" width="19.140625" style="20" customWidth="1"/>
    <col min="16" max="16" width="13.5703125" style="20" customWidth="1"/>
    <col min="17" max="17" width="12.42578125" style="20" bestFit="1" customWidth="1"/>
    <col min="18" max="18" width="23.85546875" style="20" customWidth="1"/>
    <col min="19" max="16384" width="11.42578125" style="20"/>
  </cols>
  <sheetData>
    <row r="2" spans="2:17" x14ac:dyDescent="0.2">
      <c r="B2" s="19" t="s">
        <v>88</v>
      </c>
      <c r="C2" s="19"/>
      <c r="D2" s="19"/>
    </row>
    <row r="3" spans="2:17" x14ac:dyDescent="0.2">
      <c r="B3" s="21">
        <f>FechaFacturacion</f>
        <v>45689</v>
      </c>
      <c r="C3" s="22"/>
      <c r="D3" s="22"/>
      <c r="I3" s="23" t="s">
        <v>57</v>
      </c>
      <c r="J3" s="24"/>
      <c r="K3" s="24"/>
    </row>
    <row r="4" spans="2:17" x14ac:dyDescent="0.2">
      <c r="B4" s="25"/>
      <c r="D4" s="22"/>
      <c r="I4" s="26">
        <f>'Reliquidación TD'!$I$4</f>
        <v>3.9347948285552992E-3</v>
      </c>
      <c r="J4" s="27"/>
      <c r="K4" s="27"/>
    </row>
    <row r="6" spans="2:17" ht="12.75" customHeight="1" x14ac:dyDescent="0.2">
      <c r="B6" s="29" t="s">
        <v>6</v>
      </c>
      <c r="C6" s="29" t="s">
        <v>7</v>
      </c>
      <c r="D6" s="29" t="s">
        <v>8</v>
      </c>
      <c r="E6" s="29" t="s">
        <v>9</v>
      </c>
      <c r="F6" s="29" t="s">
        <v>10</v>
      </c>
      <c r="G6" s="29" t="s">
        <v>54</v>
      </c>
      <c r="H6" s="29" t="str">
        <f>"Saldo "&amp;TEXT(B3-1,"mmmmmmmmmm")</f>
        <v>Saldo enero</v>
      </c>
      <c r="I6" s="29" t="s">
        <v>58</v>
      </c>
      <c r="J6" s="29" t="s">
        <v>59</v>
      </c>
      <c r="K6" s="29" t="s">
        <v>60</v>
      </c>
      <c r="L6" s="30" t="s">
        <v>89</v>
      </c>
      <c r="M6" s="29" t="s">
        <v>90</v>
      </c>
      <c r="N6" s="31" t="s">
        <v>91</v>
      </c>
      <c r="O6" s="29" t="s">
        <v>64</v>
      </c>
      <c r="P6" s="29" t="s">
        <v>65</v>
      </c>
    </row>
    <row r="7" spans="2:17" x14ac:dyDescent="0.2">
      <c r="B7" s="33"/>
      <c r="C7" s="34"/>
      <c r="D7" s="34"/>
      <c r="E7" s="34"/>
      <c r="F7" s="34"/>
      <c r="G7" s="34"/>
      <c r="H7" s="35"/>
      <c r="I7" s="34"/>
      <c r="J7" s="34"/>
      <c r="K7" s="34"/>
      <c r="L7" s="30"/>
      <c r="M7" s="34"/>
      <c r="N7" s="36"/>
      <c r="O7" s="34"/>
      <c r="P7" s="34"/>
    </row>
    <row r="8" spans="2:17" ht="13.5" customHeight="1" x14ac:dyDescent="0.2">
      <c r="B8" s="33"/>
      <c r="C8" s="37" t="s">
        <v>12</v>
      </c>
      <c r="D8" s="37" t="s">
        <v>12</v>
      </c>
      <c r="E8" s="37" t="s">
        <v>12</v>
      </c>
      <c r="F8" s="37" t="s">
        <v>12</v>
      </c>
      <c r="G8" s="37" t="s">
        <v>13</v>
      </c>
      <c r="H8" s="37" t="s">
        <v>13</v>
      </c>
      <c r="I8" s="37" t="s">
        <v>13</v>
      </c>
      <c r="J8" s="37" t="s">
        <v>13</v>
      </c>
      <c r="K8" s="37" t="s">
        <v>13</v>
      </c>
      <c r="L8" s="37" t="s">
        <v>13</v>
      </c>
      <c r="M8" s="37" t="s">
        <v>13</v>
      </c>
      <c r="N8" s="38" t="s">
        <v>13</v>
      </c>
      <c r="O8" s="39" t="s">
        <v>13</v>
      </c>
      <c r="P8" s="39" t="s">
        <v>13</v>
      </c>
    </row>
    <row r="9" spans="2:17" x14ac:dyDescent="0.2">
      <c r="B9" s="40" t="s">
        <v>14</v>
      </c>
      <c r="C9" s="41">
        <f>SUMIF('Entrada CDRGL'!$E$8:$E$43,'Reliquidación CD RGL'!$B9,'Entrada CDRGL'!F$8:F$43)</f>
        <v>5858488</v>
      </c>
      <c r="D9" s="41">
        <f>SUMIF('Entrada CDRGL'!$E$8:$E$43,'Reliquidación CD RGL'!$B9,'Entrada CDRGL'!G$8:G$43)</f>
        <v>3604124</v>
      </c>
      <c r="E9" s="41">
        <f>SUMIF('Entrada CDRGL'!$E$8:$E$43,'Reliquidación CD RGL'!$B9,'Entrada CDRGL'!H$8:H$43)</f>
        <v>182555</v>
      </c>
      <c r="F9" s="41">
        <f>SUMIF('Entrada CDRGL'!$E$8:$E$43,'Reliquidación CD RGL'!$B9,'Entrada CDRGL'!I$8:I$43)</f>
        <v>50278</v>
      </c>
      <c r="G9" s="41">
        <f>SUMIF('Entrada CDRGL'!$E$8:$E$43,'Reliquidación CD RGL'!$B9,'Entrada CDRGL'!J$8:J$43)</f>
        <v>-2278188.3288396001</v>
      </c>
      <c r="H9" s="41">
        <v>0</v>
      </c>
      <c r="I9" s="41">
        <f t="shared" ref="I9:I43" si="0">H9*($I$4+1)</f>
        <v>0</v>
      </c>
      <c r="J9" s="41">
        <v>0</v>
      </c>
      <c r="K9" s="41">
        <f>+J9*($I$4+1)</f>
        <v>0</v>
      </c>
      <c r="L9" s="41">
        <f>G9+I9+K9</f>
        <v>-2278188.3288396001</v>
      </c>
      <c r="M9" s="41">
        <f>IF(L9&lt;0,-L9,0)</f>
        <v>2278188.3288396001</v>
      </c>
      <c r="N9" s="41">
        <f>IF(L9&gt;0,L9,0)</f>
        <v>0</v>
      </c>
      <c r="O9" s="41">
        <f t="shared" ref="O9:O42" si="1">IF(OR($M$44=0,$N$44=0),0,((M9/$M$44-N9/$N$44)*$N$49))</f>
        <v>2278188.3288396001</v>
      </c>
      <c r="P9" s="41">
        <f>L9+O9</f>
        <v>0</v>
      </c>
      <c r="Q9" s="86"/>
    </row>
    <row r="10" spans="2:17" x14ac:dyDescent="0.2">
      <c r="B10" s="42" t="s">
        <v>15</v>
      </c>
      <c r="C10" s="43">
        <f>SUMIF('Entrada CDRGL'!$E$8:$E$43,'Reliquidación CD RGL'!$B10,'Entrada CDRGL'!F$8:F$43)</f>
        <v>1351299</v>
      </c>
      <c r="D10" s="43">
        <f>SUMIF('Entrada CDRGL'!$E$8:$E$43,'Reliquidación CD RGL'!$B10,'Entrada CDRGL'!G$8:G$43)</f>
        <v>4568128</v>
      </c>
      <c r="E10" s="43">
        <f>SUMIF('Entrada CDRGL'!$E$8:$E$43,'Reliquidación CD RGL'!$B10,'Entrada CDRGL'!H$8:H$43)</f>
        <v>2684</v>
      </c>
      <c r="F10" s="43">
        <f>SUMIF('Entrada CDRGL'!$E$8:$E$43,'Reliquidación CD RGL'!$B10,'Entrada CDRGL'!I$8:I$43)</f>
        <v>40256</v>
      </c>
      <c r="G10" s="43">
        <f>SUMIF('Entrada CDRGL'!$E$8:$E$43,'Reliquidación CD RGL'!$B10,'Entrada CDRGL'!J$8:J$43)</f>
        <v>-25146901.3645542</v>
      </c>
      <c r="H10" s="43">
        <v>0</v>
      </c>
      <c r="I10" s="43">
        <f t="shared" si="0"/>
        <v>0</v>
      </c>
      <c r="J10" s="43">
        <v>0</v>
      </c>
      <c r="K10" s="43">
        <f t="shared" ref="K10:K43" si="2">+J10*($I$4+1)</f>
        <v>0</v>
      </c>
      <c r="L10" s="43">
        <f t="shared" ref="L10:L43" si="3">G10+I10+K10</f>
        <v>-25146901.3645542</v>
      </c>
      <c r="M10" s="43">
        <f t="shared" ref="M10:M43" si="4">IF(L10&lt;0,-L10,0)</f>
        <v>25146901.3645542</v>
      </c>
      <c r="N10" s="43">
        <f>IF(L10&gt;0,L10,0)</f>
        <v>0</v>
      </c>
      <c r="O10" s="43">
        <f t="shared" si="1"/>
        <v>25146901.3645542</v>
      </c>
      <c r="P10" s="43">
        <f t="shared" ref="P10:P43" si="5">L10+O10</f>
        <v>0</v>
      </c>
      <c r="Q10" s="86"/>
    </row>
    <row r="11" spans="2:17" x14ac:dyDescent="0.2">
      <c r="B11" s="42" t="s">
        <v>16</v>
      </c>
      <c r="C11" s="43">
        <f>SUMIF('Entrada CDRGL'!$E$8:$E$43,'Reliquidación CD RGL'!$B11,'Entrada CDRGL'!F$8:F$43)</f>
        <v>3609797</v>
      </c>
      <c r="D11" s="43">
        <f>SUMIF('Entrada CDRGL'!$E$8:$E$43,'Reliquidación CD RGL'!$B11,'Entrada CDRGL'!G$8:G$43)</f>
        <v>13736630.449999999</v>
      </c>
      <c r="E11" s="43">
        <f>SUMIF('Entrada CDRGL'!$E$8:$E$43,'Reliquidación CD RGL'!$B11,'Entrada CDRGL'!H$8:H$43)</f>
        <v>0</v>
      </c>
      <c r="F11" s="43">
        <f>SUMIF('Entrada CDRGL'!$E$8:$E$43,'Reliquidación CD RGL'!$B11,'Entrada CDRGL'!I$8:I$43)</f>
        <v>32662</v>
      </c>
      <c r="G11" s="43">
        <f>SUMIF('Entrada CDRGL'!$E$8:$E$43,'Reliquidación CD RGL'!$B11,'Entrada CDRGL'!J$8:J$43)</f>
        <v>28736871.958838109</v>
      </c>
      <c r="H11" s="43">
        <v>9115682.4832365327</v>
      </c>
      <c r="I11" s="43">
        <f t="shared" si="0"/>
        <v>9151550.8235303238</v>
      </c>
      <c r="J11" s="43">
        <v>0</v>
      </c>
      <c r="K11" s="43">
        <f t="shared" si="2"/>
        <v>0</v>
      </c>
      <c r="L11" s="43">
        <f t="shared" si="3"/>
        <v>37888422.782368436</v>
      </c>
      <c r="M11" s="43">
        <f t="shared" si="4"/>
        <v>0</v>
      </c>
      <c r="N11" s="43">
        <f t="shared" ref="N11:N43" si="6">IF(L11&gt;0,L11,0)</f>
        <v>37888422.782368436</v>
      </c>
      <c r="O11" s="43">
        <f t="shared" si="1"/>
        <v>-20090016.427062836</v>
      </c>
      <c r="P11" s="43">
        <f t="shared" si="5"/>
        <v>17798406.355305601</v>
      </c>
      <c r="Q11" s="86"/>
    </row>
    <row r="12" spans="2:17" x14ac:dyDescent="0.2">
      <c r="B12" s="42" t="s">
        <v>17</v>
      </c>
      <c r="C12" s="43">
        <f>SUMIF('Entrada CDRGL'!$E$8:$E$43,'Reliquidación CD RGL'!$B12,'Entrada CDRGL'!F$8:F$43)</f>
        <v>497568</v>
      </c>
      <c r="D12" s="43">
        <f>SUMIF('Entrada CDRGL'!$E$8:$E$43,'Reliquidación CD RGL'!$B12,'Entrada CDRGL'!G$8:G$43)</f>
        <v>1473676</v>
      </c>
      <c r="E12" s="43">
        <f>SUMIF('Entrada CDRGL'!$E$8:$E$43,'Reliquidación CD RGL'!$B12,'Entrada CDRGL'!H$8:H$43)</f>
        <v>0</v>
      </c>
      <c r="F12" s="43">
        <f>SUMIF('Entrada CDRGL'!$E$8:$E$43,'Reliquidación CD RGL'!$B12,'Entrada CDRGL'!I$8:I$43)</f>
        <v>0</v>
      </c>
      <c r="G12" s="43">
        <f>SUMIF('Entrada CDRGL'!$E$8:$E$43,'Reliquidación CD RGL'!$B12,'Entrada CDRGL'!J$8:J$43)</f>
        <v>3628186.716102601</v>
      </c>
      <c r="H12" s="43">
        <v>1063265.0308350027</v>
      </c>
      <c r="I12" s="43">
        <f t="shared" si="0"/>
        <v>1067448.7605797159</v>
      </c>
      <c r="J12" s="43">
        <v>0</v>
      </c>
      <c r="K12" s="43">
        <f t="shared" si="2"/>
        <v>0</v>
      </c>
      <c r="L12" s="43">
        <f t="shared" si="3"/>
        <v>4695635.4766823165</v>
      </c>
      <c r="M12" s="43">
        <f t="shared" si="4"/>
        <v>0</v>
      </c>
      <c r="N12" s="43">
        <f t="shared" si="6"/>
        <v>4695635.4766823165</v>
      </c>
      <c r="O12" s="43">
        <f t="shared" si="1"/>
        <v>-2489821.0834457381</v>
      </c>
      <c r="P12" s="43">
        <f t="shared" si="5"/>
        <v>2205814.3932365784</v>
      </c>
      <c r="Q12" s="86"/>
    </row>
    <row r="13" spans="2:17" x14ac:dyDescent="0.2">
      <c r="B13" s="42" t="s">
        <v>18</v>
      </c>
      <c r="C13" s="43">
        <f>SUMIF('Entrada CDRGL'!$E$8:$E$43,'Reliquidación CD RGL'!$B13,'Entrada CDRGL'!F$8:F$43)</f>
        <v>179075049.39700001</v>
      </c>
      <c r="D13" s="43">
        <f>SUMIF('Entrada CDRGL'!$E$8:$E$43,'Reliquidación CD RGL'!$B13,'Entrada CDRGL'!G$8:G$43)</f>
        <v>449687404.71100003</v>
      </c>
      <c r="E13" s="43">
        <f>SUMIF('Entrada CDRGL'!$E$8:$E$43,'Reliquidación CD RGL'!$B13,'Entrada CDRGL'!H$8:H$43)</f>
        <v>2809205.594</v>
      </c>
      <c r="F13" s="43">
        <f>SUMIF('Entrada CDRGL'!$E$8:$E$43,'Reliquidación CD RGL'!$B13,'Entrada CDRGL'!I$8:I$43)</f>
        <v>-2192337.3640000001</v>
      </c>
      <c r="G13" s="43">
        <f>SUMIF('Entrada CDRGL'!$E$8:$E$43,'Reliquidación CD RGL'!$B13,'Entrada CDRGL'!J$8:J$43)</f>
        <v>180764559.3364476</v>
      </c>
      <c r="H13" s="43">
        <v>49627374.575617716</v>
      </c>
      <c r="I13" s="43">
        <f t="shared" si="0"/>
        <v>49822648.112452634</v>
      </c>
      <c r="J13" s="43">
        <v>0</v>
      </c>
      <c r="K13" s="43">
        <f t="shared" si="2"/>
        <v>0</v>
      </c>
      <c r="L13" s="43">
        <f t="shared" si="3"/>
        <v>230587207.44890022</v>
      </c>
      <c r="M13" s="43">
        <f t="shared" si="4"/>
        <v>0</v>
      </c>
      <c r="N13" s="43">
        <f t="shared" si="6"/>
        <v>230587207.44890022</v>
      </c>
      <c r="O13" s="43">
        <f t="shared" si="1"/>
        <v>-122266920.74589889</v>
      </c>
      <c r="P13" s="43">
        <f t="shared" si="5"/>
        <v>108320286.70300134</v>
      </c>
      <c r="Q13" s="86"/>
    </row>
    <row r="14" spans="2:17" x14ac:dyDescent="0.2">
      <c r="B14" s="42" t="s">
        <v>20</v>
      </c>
      <c r="C14" s="43">
        <f>SUMIF('Entrada CDRGL'!$E$8:$E$43,'Reliquidación CD RGL'!$B14,'Entrada CDRGL'!F$8:F$43)</f>
        <v>73958.002999999997</v>
      </c>
      <c r="D14" s="43">
        <f>SUMIF('Entrada CDRGL'!$E$8:$E$43,'Reliquidación CD RGL'!$B14,'Entrada CDRGL'!G$8:G$43)</f>
        <v>1001024.439</v>
      </c>
      <c r="E14" s="43">
        <f>SUMIF('Entrada CDRGL'!$E$8:$E$43,'Reliquidación CD RGL'!$B14,'Entrada CDRGL'!H$8:H$43)</f>
        <v>0</v>
      </c>
      <c r="F14" s="43">
        <f>SUMIF('Entrada CDRGL'!$E$8:$E$43,'Reliquidación CD RGL'!$B14,'Entrada CDRGL'!I$8:I$43)</f>
        <v>0</v>
      </c>
      <c r="G14" s="43">
        <f>SUMIF('Entrada CDRGL'!$E$8:$E$43,'Reliquidación CD RGL'!$B14,'Entrada CDRGL'!J$8:J$43)</f>
        <v>-16466559.50968788</v>
      </c>
      <c r="H14" s="43">
        <v>0</v>
      </c>
      <c r="I14" s="43">
        <f t="shared" si="0"/>
        <v>0</v>
      </c>
      <c r="J14" s="43">
        <v>0</v>
      </c>
      <c r="K14" s="43">
        <f t="shared" si="2"/>
        <v>0</v>
      </c>
      <c r="L14" s="43">
        <f t="shared" si="3"/>
        <v>-16466559.50968788</v>
      </c>
      <c r="M14" s="43">
        <f t="shared" si="4"/>
        <v>16466559.50968788</v>
      </c>
      <c r="N14" s="43">
        <f t="shared" si="6"/>
        <v>0</v>
      </c>
      <c r="O14" s="43">
        <f t="shared" si="1"/>
        <v>16466559.509687882</v>
      </c>
      <c r="P14" s="43">
        <f t="shared" si="5"/>
        <v>0</v>
      </c>
      <c r="Q14" s="86"/>
    </row>
    <row r="15" spans="2:17" x14ac:dyDescent="0.2">
      <c r="B15" s="42" t="s">
        <v>21</v>
      </c>
      <c r="C15" s="43">
        <f>SUMIF('Entrada CDRGL'!$E$8:$E$43,'Reliquidación CD RGL'!$B15,'Entrada CDRGL'!F$8:F$43)</f>
        <v>12259688.81893453</v>
      </c>
      <c r="D15" s="43">
        <f>SUMIF('Entrada CDRGL'!$E$8:$E$43,'Reliquidación CD RGL'!$B15,'Entrada CDRGL'!G$8:G$43)</f>
        <v>19502529.916000001</v>
      </c>
      <c r="E15" s="43">
        <f>SUMIF('Entrada CDRGL'!$E$8:$E$43,'Reliquidación CD RGL'!$B15,'Entrada CDRGL'!H$8:H$43)</f>
        <v>296192.02</v>
      </c>
      <c r="F15" s="43">
        <f>SUMIF('Entrada CDRGL'!$E$8:$E$43,'Reliquidación CD RGL'!$B15,'Entrada CDRGL'!I$8:I$43)</f>
        <v>56319.735999999997</v>
      </c>
      <c r="G15" s="43">
        <f>SUMIF('Entrada CDRGL'!$E$8:$E$43,'Reliquidación CD RGL'!$B15,'Entrada CDRGL'!J$8:J$43)</f>
        <v>-180791083.69959801</v>
      </c>
      <c r="H15" s="43">
        <v>0</v>
      </c>
      <c r="I15" s="43">
        <f t="shared" si="0"/>
        <v>0</v>
      </c>
      <c r="J15" s="43">
        <v>0</v>
      </c>
      <c r="K15" s="43">
        <f t="shared" si="2"/>
        <v>0</v>
      </c>
      <c r="L15" s="43">
        <f t="shared" si="3"/>
        <v>-180791083.69959801</v>
      </c>
      <c r="M15" s="43">
        <f t="shared" si="4"/>
        <v>180791083.69959801</v>
      </c>
      <c r="N15" s="43">
        <f t="shared" si="6"/>
        <v>0</v>
      </c>
      <c r="O15" s="43">
        <f t="shared" si="1"/>
        <v>180791083.69959801</v>
      </c>
      <c r="P15" s="43">
        <f t="shared" si="5"/>
        <v>0</v>
      </c>
      <c r="Q15" s="86"/>
    </row>
    <row r="16" spans="2:17" x14ac:dyDescent="0.2">
      <c r="B16" s="42" t="s">
        <v>22</v>
      </c>
      <c r="C16" s="43">
        <f>SUMIF('Entrada CDRGL'!$E$8:$E$43,'Reliquidación CD RGL'!$B16,'Entrada CDRGL'!F$8:F$43)</f>
        <v>0</v>
      </c>
      <c r="D16" s="43">
        <f>SUMIF('Entrada CDRGL'!$E$8:$E$43,'Reliquidación CD RGL'!$B16,'Entrada CDRGL'!G$8:G$43)</f>
        <v>0</v>
      </c>
      <c r="E16" s="43">
        <f>SUMIF('Entrada CDRGL'!$E$8:$E$43,'Reliquidación CD RGL'!$B16,'Entrada CDRGL'!H$8:H$43)</f>
        <v>0</v>
      </c>
      <c r="F16" s="43">
        <f>SUMIF('Entrada CDRGL'!$E$8:$E$43,'Reliquidación CD RGL'!$B16,'Entrada CDRGL'!I$8:I$43)</f>
        <v>0</v>
      </c>
      <c r="G16" s="43">
        <f>SUMIF('Entrada CDRGL'!$E$8:$E$43,'Reliquidación CD RGL'!$B16,'Entrada CDRGL'!J$8:J$43)</f>
        <v>0</v>
      </c>
      <c r="H16" s="43">
        <v>0</v>
      </c>
      <c r="I16" s="43">
        <f t="shared" si="0"/>
        <v>0</v>
      </c>
      <c r="J16" s="43">
        <v>0</v>
      </c>
      <c r="K16" s="43">
        <f t="shared" si="2"/>
        <v>0</v>
      </c>
      <c r="L16" s="43">
        <f t="shared" si="3"/>
        <v>0</v>
      </c>
      <c r="M16" s="43">
        <f t="shared" si="4"/>
        <v>0</v>
      </c>
      <c r="N16" s="43">
        <f t="shared" si="6"/>
        <v>0</v>
      </c>
      <c r="O16" s="43">
        <f t="shared" si="1"/>
        <v>0</v>
      </c>
      <c r="P16" s="43">
        <f t="shared" si="5"/>
        <v>0</v>
      </c>
      <c r="Q16" s="86"/>
    </row>
    <row r="17" spans="2:17" x14ac:dyDescent="0.2">
      <c r="B17" s="42" t="s">
        <v>23</v>
      </c>
      <c r="C17" s="43">
        <f>SUMIF('Entrada CDRGL'!$E$8:$E$43,'Reliquidación CD RGL'!$B17,'Entrada CDRGL'!F$8:F$43)</f>
        <v>0</v>
      </c>
      <c r="D17" s="43">
        <f>SUMIF('Entrada CDRGL'!$E$8:$E$43,'Reliquidación CD RGL'!$B17,'Entrada CDRGL'!G$8:G$43)</f>
        <v>0</v>
      </c>
      <c r="E17" s="43">
        <f>SUMIF('Entrada CDRGL'!$E$8:$E$43,'Reliquidación CD RGL'!$B17,'Entrada CDRGL'!H$8:H$43)</f>
        <v>0</v>
      </c>
      <c r="F17" s="43">
        <f>SUMIF('Entrada CDRGL'!$E$8:$E$43,'Reliquidación CD RGL'!$B17,'Entrada CDRGL'!I$8:I$43)</f>
        <v>0</v>
      </c>
      <c r="G17" s="43">
        <f>SUMIF('Entrada CDRGL'!$E$8:$E$43,'Reliquidación CD RGL'!$B17,'Entrada CDRGL'!J$8:J$43)</f>
        <v>0</v>
      </c>
      <c r="H17" s="43">
        <v>0</v>
      </c>
      <c r="I17" s="43">
        <f t="shared" si="0"/>
        <v>0</v>
      </c>
      <c r="J17" s="43">
        <v>0</v>
      </c>
      <c r="K17" s="43">
        <f t="shared" si="2"/>
        <v>0</v>
      </c>
      <c r="L17" s="43">
        <f t="shared" si="3"/>
        <v>0</v>
      </c>
      <c r="M17" s="43">
        <f t="shared" si="4"/>
        <v>0</v>
      </c>
      <c r="N17" s="43">
        <f t="shared" si="6"/>
        <v>0</v>
      </c>
      <c r="O17" s="43">
        <f t="shared" si="1"/>
        <v>0</v>
      </c>
      <c r="P17" s="43">
        <f t="shared" si="5"/>
        <v>0</v>
      </c>
      <c r="Q17" s="86"/>
    </row>
    <row r="18" spans="2:17" x14ac:dyDescent="0.2">
      <c r="B18" s="42" t="s">
        <v>24</v>
      </c>
      <c r="C18" s="43">
        <f>SUMIF('Entrada CDRGL'!$E$8:$E$43,'Reliquidación CD RGL'!$B18,'Entrada CDRGL'!F$8:F$43)+SUMIF('Entrada CDRGL'!$E$8:$E$43,"LUZ ANDES",'Entrada CDRGL'!F$8:F$43)</f>
        <v>126683080.45100001</v>
      </c>
      <c r="D18" s="43">
        <f>SUMIF('Entrada CDRGL'!$E$8:$E$43,'Reliquidación CD RGL'!$B18,'Entrada CDRGL'!G$8:G$43)+SUMIF('Entrada CDRGL'!$E$8:$E$43,"LUZ ANDES",'Entrada CDRGL'!G$8:G$43)</f>
        <v>653485642.92536199</v>
      </c>
      <c r="E18" s="43">
        <f>SUMIF('Entrada CDRGL'!$E$8:$E$43,'Reliquidación CD RGL'!$B18,'Entrada CDRGL'!H$8:H$43)+SUMIF('Entrada CDRGL'!$E$8:$E$43,"LUZ ANDES",'Entrada CDRGL'!H$8:H$43)</f>
        <v>1363727.5</v>
      </c>
      <c r="F18" s="43">
        <f>SUMIF('Entrada CDRGL'!$E$8:$E$43,'Reliquidación CD RGL'!$B18,'Entrada CDRGL'!I$8:I$43)+SUMIF('Entrada CDRGL'!$E$8:$E$43,"LUZ ANDES",'Entrada CDRGL'!I$8:I$43)</f>
        <v>1685071.2050000001</v>
      </c>
      <c r="G18" s="43">
        <f>SUMIF('Entrada CDRGL'!$E$8:$E$43,'Reliquidación CD RGL'!$B18,'Entrada CDRGL'!J$8:J$43)+SUMIF('Entrada CDRGL'!$E$8:$E$43,"LUZ ANDES",'Entrada CDRGL'!J$8:J$43)</f>
        <v>1106604789.5246394</v>
      </c>
      <c r="H18" s="43">
        <v>346025572.67489707</v>
      </c>
      <c r="I18" s="43">
        <f t="shared" si="0"/>
        <v>347387112.30880612</v>
      </c>
      <c r="J18" s="43">
        <v>0</v>
      </c>
      <c r="K18" s="43">
        <f t="shared" si="2"/>
        <v>0</v>
      </c>
      <c r="L18" s="43">
        <f t="shared" si="3"/>
        <v>1453991901.8334455</v>
      </c>
      <c r="M18" s="43">
        <f t="shared" si="4"/>
        <v>0</v>
      </c>
      <c r="N18" s="43">
        <f t="shared" si="6"/>
        <v>1453991901.8334455</v>
      </c>
      <c r="O18" s="43">
        <f t="shared" si="1"/>
        <v>-770966935.21493351</v>
      </c>
      <c r="P18" s="43">
        <f t="shared" si="5"/>
        <v>683024966.61851203</v>
      </c>
      <c r="Q18" s="86"/>
    </row>
    <row r="19" spans="2:17" x14ac:dyDescent="0.2">
      <c r="B19" s="42" t="s">
        <v>26</v>
      </c>
      <c r="C19" s="43">
        <f>SUMIF('Entrada CDRGL'!$E$8:$E$43,'Reliquidación CD RGL'!$B19,'Entrada CDRGL'!F$8:F$43)</f>
        <v>37453496.123000003</v>
      </c>
      <c r="D19" s="43">
        <f>SUMIF('Entrada CDRGL'!$E$8:$E$43,'Reliquidación CD RGL'!$B19,'Entrada CDRGL'!G$8:G$43)</f>
        <v>71144273.245000005</v>
      </c>
      <c r="E19" s="43">
        <f>SUMIF('Entrada CDRGL'!$E$8:$E$43,'Reliquidación CD RGL'!$B19,'Entrada CDRGL'!H$8:H$43)</f>
        <v>780328.14</v>
      </c>
      <c r="F19" s="43">
        <f>SUMIF('Entrada CDRGL'!$E$8:$E$43,'Reliquidación CD RGL'!$B19,'Entrada CDRGL'!I$8:I$43)</f>
        <v>210386.84599999999</v>
      </c>
      <c r="G19" s="43">
        <f>SUMIF('Entrada CDRGL'!$E$8:$E$43,'Reliquidación CD RGL'!$B19,'Entrada CDRGL'!J$8:J$43)</f>
        <v>-59021461.644696221</v>
      </c>
      <c r="H19" s="43">
        <v>0</v>
      </c>
      <c r="I19" s="43">
        <f t="shared" si="0"/>
        <v>0</v>
      </c>
      <c r="J19" s="43">
        <v>0</v>
      </c>
      <c r="K19" s="43">
        <f t="shared" si="2"/>
        <v>0</v>
      </c>
      <c r="L19" s="43">
        <f t="shared" si="3"/>
        <v>-59021461.644696221</v>
      </c>
      <c r="M19" s="43">
        <f t="shared" si="4"/>
        <v>59021461.644696221</v>
      </c>
      <c r="N19" s="43">
        <f t="shared" si="6"/>
        <v>0</v>
      </c>
      <c r="O19" s="43">
        <f t="shared" si="1"/>
        <v>59021461.644696221</v>
      </c>
      <c r="P19" s="43">
        <f t="shared" si="5"/>
        <v>0</v>
      </c>
      <c r="Q19" s="86"/>
    </row>
    <row r="20" spans="2:17" x14ac:dyDescent="0.2">
      <c r="B20" s="42" t="s">
        <v>27</v>
      </c>
      <c r="C20" s="43">
        <f>SUMIF('Entrada CDRGL'!$E$8:$E$43,'Reliquidación CD RGL'!$B20,'Entrada CDRGL'!F$8:F$43)</f>
        <v>2055527.727</v>
      </c>
      <c r="D20" s="43">
        <f>SUMIF('Entrada CDRGL'!$E$8:$E$43,'Reliquidación CD RGL'!$B20,'Entrada CDRGL'!G$8:G$43)</f>
        <v>17009823.287999999</v>
      </c>
      <c r="E20" s="43">
        <f>SUMIF('Entrada CDRGL'!$E$8:$E$43,'Reliquidación CD RGL'!$B20,'Entrada CDRGL'!H$8:H$43)</f>
        <v>0</v>
      </c>
      <c r="F20" s="43">
        <f>SUMIF('Entrada CDRGL'!$E$8:$E$43,'Reliquidación CD RGL'!$B20,'Entrada CDRGL'!I$8:I$43)</f>
        <v>27099.214</v>
      </c>
      <c r="G20" s="43">
        <f>SUMIF('Entrada CDRGL'!$E$8:$E$43,'Reliquidación CD RGL'!$B20,'Entrada CDRGL'!J$8:J$43)</f>
        <v>35212113.125444077</v>
      </c>
      <c r="H20" s="43">
        <v>12133146.084296994</v>
      </c>
      <c r="I20" s="43">
        <f t="shared" si="0"/>
        <v>12180887.524763592</v>
      </c>
      <c r="J20" s="43">
        <v>0</v>
      </c>
      <c r="K20" s="43">
        <f t="shared" si="2"/>
        <v>0</v>
      </c>
      <c r="L20" s="43">
        <f t="shared" si="3"/>
        <v>47393000.650207669</v>
      </c>
      <c r="M20" s="43">
        <f t="shared" si="4"/>
        <v>0</v>
      </c>
      <c r="N20" s="43">
        <f t="shared" si="6"/>
        <v>47393000.650207669</v>
      </c>
      <c r="O20" s="43">
        <f t="shared" si="1"/>
        <v>-25129738.629118875</v>
      </c>
      <c r="P20" s="43">
        <f t="shared" si="5"/>
        <v>22263262.021088794</v>
      </c>
      <c r="Q20" s="86"/>
    </row>
    <row r="21" spans="2:17" x14ac:dyDescent="0.2">
      <c r="B21" s="42" t="s">
        <v>28</v>
      </c>
      <c r="C21" s="43">
        <f>SUMIF('Entrada CDRGL'!$E$8:$E$43,'Reliquidación CD RGL'!$B21,'Entrada CDRGL'!F$8:F$43)</f>
        <v>0</v>
      </c>
      <c r="D21" s="43">
        <f>SUMIF('Entrada CDRGL'!$E$8:$E$43,'Reliquidación CD RGL'!$B21,'Entrada CDRGL'!G$8:G$43)</f>
        <v>0</v>
      </c>
      <c r="E21" s="43">
        <f>SUMIF('Entrada CDRGL'!$E$8:$E$43,'Reliquidación CD RGL'!$B21,'Entrada CDRGL'!H$8:H$43)</f>
        <v>0</v>
      </c>
      <c r="F21" s="43">
        <f>SUMIF('Entrada CDRGL'!$E$8:$E$43,'Reliquidación CD RGL'!$B21,'Entrada CDRGL'!I$8:I$43)</f>
        <v>0</v>
      </c>
      <c r="G21" s="43">
        <f>SUMIF('Entrada CDRGL'!$E$8:$E$43,'Reliquidación CD RGL'!$B21,'Entrada CDRGL'!J$8:J$43)</f>
        <v>0</v>
      </c>
      <c r="H21" s="43">
        <v>0</v>
      </c>
      <c r="I21" s="43">
        <f t="shared" si="0"/>
        <v>0</v>
      </c>
      <c r="J21" s="43">
        <v>0</v>
      </c>
      <c r="K21" s="43">
        <f t="shared" si="2"/>
        <v>0</v>
      </c>
      <c r="L21" s="43">
        <f t="shared" si="3"/>
        <v>0</v>
      </c>
      <c r="M21" s="43">
        <f t="shared" si="4"/>
        <v>0</v>
      </c>
      <c r="N21" s="43">
        <f t="shared" si="6"/>
        <v>0</v>
      </c>
      <c r="O21" s="43">
        <f t="shared" si="1"/>
        <v>0</v>
      </c>
      <c r="P21" s="43">
        <f t="shared" si="5"/>
        <v>0</v>
      </c>
      <c r="Q21" s="86"/>
    </row>
    <row r="22" spans="2:17" x14ac:dyDescent="0.2">
      <c r="B22" s="42" t="s">
        <v>29</v>
      </c>
      <c r="C22" s="43">
        <f>SUMIF('Entrada CDRGL'!$E$8:$E$43,'Reliquidación CD RGL'!$B22,'Entrada CDRGL'!F$8:F$43)</f>
        <v>1387239</v>
      </c>
      <c r="D22" s="43">
        <f>SUMIF('Entrada CDRGL'!$E$8:$E$43,'Reliquidación CD RGL'!$B22,'Entrada CDRGL'!G$8:G$43)</f>
        <v>7103391.9000000004</v>
      </c>
      <c r="E22" s="43">
        <f>SUMIF('Entrada CDRGL'!$E$8:$E$43,'Reliquidación CD RGL'!$B22,'Entrada CDRGL'!H$8:H$43)</f>
        <v>378</v>
      </c>
      <c r="F22" s="43">
        <f>SUMIF('Entrada CDRGL'!$E$8:$E$43,'Reliquidación CD RGL'!$B22,'Entrada CDRGL'!I$8:I$43)</f>
        <v>28244</v>
      </c>
      <c r="G22" s="43">
        <f>SUMIF('Entrada CDRGL'!$E$8:$E$43,'Reliquidación CD RGL'!$B22,'Entrada CDRGL'!J$8:J$43)</f>
        <v>-2802320.3422332942</v>
      </c>
      <c r="H22" s="43">
        <v>0</v>
      </c>
      <c r="I22" s="43">
        <f t="shared" si="0"/>
        <v>0</v>
      </c>
      <c r="J22" s="43">
        <v>0</v>
      </c>
      <c r="K22" s="43">
        <f t="shared" si="2"/>
        <v>0</v>
      </c>
      <c r="L22" s="43">
        <f t="shared" si="3"/>
        <v>-2802320.3422332942</v>
      </c>
      <c r="M22" s="43">
        <f t="shared" si="4"/>
        <v>2802320.3422332942</v>
      </c>
      <c r="N22" s="43">
        <f t="shared" si="6"/>
        <v>0</v>
      </c>
      <c r="O22" s="43">
        <f t="shared" si="1"/>
        <v>2802320.3422332942</v>
      </c>
      <c r="P22" s="43">
        <f t="shared" si="5"/>
        <v>0</v>
      </c>
      <c r="Q22" s="86"/>
    </row>
    <row r="23" spans="2:17" x14ac:dyDescent="0.2">
      <c r="B23" s="42" t="s">
        <v>30</v>
      </c>
      <c r="C23" s="43">
        <f>SUMIF('Entrada CDRGL'!$E$8:$E$43,'Reliquidación CD RGL'!$B23,'Entrada CDRGL'!F$8:F$43)</f>
        <v>12579642</v>
      </c>
      <c r="D23" s="43">
        <f>SUMIF('Entrada CDRGL'!$E$8:$E$43,'Reliquidación CD RGL'!$B23,'Entrada CDRGL'!G$8:G$43)</f>
        <v>14055928</v>
      </c>
      <c r="E23" s="43">
        <f>SUMIF('Entrada CDRGL'!$E$8:$E$43,'Reliquidación CD RGL'!$B23,'Entrada CDRGL'!H$8:H$43)</f>
        <v>805237</v>
      </c>
      <c r="F23" s="43">
        <f>SUMIF('Entrada CDRGL'!$E$8:$E$43,'Reliquidación CD RGL'!$B23,'Entrada CDRGL'!I$8:I$43)</f>
        <v>160722</v>
      </c>
      <c r="G23" s="43">
        <f>SUMIF('Entrada CDRGL'!$E$8:$E$43,'Reliquidación CD RGL'!$B23,'Entrada CDRGL'!J$8:J$43)</f>
        <v>35231760.826305248</v>
      </c>
      <c r="H23" s="43">
        <v>10679230.426897492</v>
      </c>
      <c r="I23" s="43">
        <f t="shared" si="0"/>
        <v>10721251.0075542</v>
      </c>
      <c r="J23" s="43">
        <v>0</v>
      </c>
      <c r="K23" s="43">
        <f t="shared" si="2"/>
        <v>0</v>
      </c>
      <c r="L23" s="43">
        <f t="shared" si="3"/>
        <v>45953011.833859444</v>
      </c>
      <c r="M23" s="43">
        <f t="shared" si="4"/>
        <v>0</v>
      </c>
      <c r="N23" s="43">
        <f t="shared" si="6"/>
        <v>45953011.833859444</v>
      </c>
      <c r="O23" s="43">
        <f t="shared" si="1"/>
        <v>-24366196.711805675</v>
      </c>
      <c r="P23" s="43">
        <f t="shared" si="5"/>
        <v>21586815.122053768</v>
      </c>
      <c r="Q23" s="86"/>
    </row>
    <row r="24" spans="2:17" x14ac:dyDescent="0.2">
      <c r="B24" s="42" t="s">
        <v>31</v>
      </c>
      <c r="C24" s="43">
        <f>SUMIF('Entrada CDRGL'!$E$8:$E$43,'Reliquidación CD RGL'!$B24,'Entrada CDRGL'!F$8:F$43)</f>
        <v>1658481</v>
      </c>
      <c r="D24" s="43">
        <f>SUMIF('Entrada CDRGL'!$E$8:$E$43,'Reliquidación CD RGL'!$B24,'Entrada CDRGL'!G$8:G$43)</f>
        <v>13698754</v>
      </c>
      <c r="E24" s="43">
        <f>SUMIF('Entrada CDRGL'!$E$8:$E$43,'Reliquidación CD RGL'!$B24,'Entrada CDRGL'!H$8:H$43)</f>
        <v>1</v>
      </c>
      <c r="F24" s="43">
        <f>SUMIF('Entrada CDRGL'!$E$8:$E$43,'Reliquidación CD RGL'!$B24,'Entrada CDRGL'!I$8:I$43)</f>
        <v>81836</v>
      </c>
      <c r="G24" s="43">
        <f>SUMIF('Entrada CDRGL'!$E$8:$E$43,'Reliquidación CD RGL'!$B24,'Entrada CDRGL'!J$8:J$43)</f>
        <v>22023650.019398801</v>
      </c>
      <c r="H24" s="43">
        <v>7632401.8793750629</v>
      </c>
      <c r="I24" s="43">
        <f t="shared" si="0"/>
        <v>7662433.814819484</v>
      </c>
      <c r="J24" s="43">
        <v>0</v>
      </c>
      <c r="K24" s="43">
        <f t="shared" si="2"/>
        <v>0</v>
      </c>
      <c r="L24" s="43">
        <f t="shared" si="3"/>
        <v>29686083.834218286</v>
      </c>
      <c r="M24" s="43">
        <f t="shared" si="4"/>
        <v>0</v>
      </c>
      <c r="N24" s="43">
        <f t="shared" si="6"/>
        <v>29686083.834218286</v>
      </c>
      <c r="O24" s="43">
        <f t="shared" si="1"/>
        <v>-15740795.422134718</v>
      </c>
      <c r="P24" s="43">
        <f t="shared" si="5"/>
        <v>13945288.412083568</v>
      </c>
      <c r="Q24" s="86"/>
    </row>
    <row r="25" spans="2:17" x14ac:dyDescent="0.2">
      <c r="B25" s="42" t="s">
        <v>32</v>
      </c>
      <c r="C25" s="43">
        <f>SUMIF('Entrada CDRGL'!$E$8:$E$43,'Reliquidación CD RGL'!$B25,'Entrada CDRGL'!F$8:F$43)</f>
        <v>784466</v>
      </c>
      <c r="D25" s="43">
        <f>SUMIF('Entrada CDRGL'!$E$8:$E$43,'Reliquidación CD RGL'!$B25,'Entrada CDRGL'!G$8:G$43)</f>
        <v>4993205</v>
      </c>
      <c r="E25" s="43">
        <f>SUMIF('Entrada CDRGL'!$E$8:$E$43,'Reliquidación CD RGL'!$B25,'Entrada CDRGL'!H$8:H$43)</f>
        <v>273368</v>
      </c>
      <c r="F25" s="43">
        <f>SUMIF('Entrada CDRGL'!$E$8:$E$43,'Reliquidación CD RGL'!$B25,'Entrada CDRGL'!I$8:I$43)</f>
        <v>41834</v>
      </c>
      <c r="G25" s="43">
        <f>SUMIF('Entrada CDRGL'!$E$8:$E$43,'Reliquidación CD RGL'!$B25,'Entrada CDRGL'!J$8:J$43)</f>
        <v>-11820259.716186309</v>
      </c>
      <c r="H25" s="43">
        <v>0</v>
      </c>
      <c r="I25" s="43">
        <f t="shared" si="0"/>
        <v>0</v>
      </c>
      <c r="J25" s="43">
        <v>0</v>
      </c>
      <c r="K25" s="43">
        <f t="shared" si="2"/>
        <v>0</v>
      </c>
      <c r="L25" s="43">
        <f t="shared" si="3"/>
        <v>-11820259.716186309</v>
      </c>
      <c r="M25" s="43">
        <f t="shared" si="4"/>
        <v>11820259.716186309</v>
      </c>
      <c r="N25" s="43">
        <f t="shared" si="6"/>
        <v>0</v>
      </c>
      <c r="O25" s="43">
        <f t="shared" si="1"/>
        <v>11820259.716186309</v>
      </c>
      <c r="P25" s="43">
        <f t="shared" si="5"/>
        <v>0</v>
      </c>
      <c r="Q25" s="86"/>
    </row>
    <row r="26" spans="2:17" x14ac:dyDescent="0.2">
      <c r="B26" s="42" t="s">
        <v>33</v>
      </c>
      <c r="C26" s="43">
        <f>SUMIF('Entrada CDRGL'!$E$8:$E$43,'Reliquidación CD RGL'!$B26,'Entrada CDRGL'!F$8:F$43)</f>
        <v>2279267</v>
      </c>
      <c r="D26" s="43">
        <f>SUMIF('Entrada CDRGL'!$E$8:$E$43,'Reliquidación CD RGL'!$B26,'Entrada CDRGL'!G$8:G$43)</f>
        <v>2372370</v>
      </c>
      <c r="E26" s="43">
        <f>SUMIF('Entrada CDRGL'!$E$8:$E$43,'Reliquidación CD RGL'!$B26,'Entrada CDRGL'!H$8:H$43)</f>
        <v>108079</v>
      </c>
      <c r="F26" s="43">
        <f>SUMIF('Entrada CDRGL'!$E$8:$E$43,'Reliquidación CD RGL'!$B26,'Entrada CDRGL'!I$8:I$43)</f>
        <v>8368</v>
      </c>
      <c r="G26" s="43">
        <f>SUMIF('Entrada CDRGL'!$E$8:$E$43,'Reliquidación CD RGL'!$B26,'Entrada CDRGL'!J$8:J$43)</f>
        <v>6119111.7480781069</v>
      </c>
      <c r="H26" s="43">
        <v>1920367.6393340547</v>
      </c>
      <c r="I26" s="43">
        <f t="shared" si="0"/>
        <v>1927923.8919902314</v>
      </c>
      <c r="J26" s="43">
        <v>0</v>
      </c>
      <c r="K26" s="43">
        <f t="shared" si="2"/>
        <v>0</v>
      </c>
      <c r="L26" s="43">
        <f t="shared" si="3"/>
        <v>8047035.6400683383</v>
      </c>
      <c r="M26" s="43">
        <f t="shared" si="4"/>
        <v>0</v>
      </c>
      <c r="N26" s="43">
        <f t="shared" si="6"/>
        <v>8047035.6400683383</v>
      </c>
      <c r="O26" s="43">
        <f t="shared" si="1"/>
        <v>-4266872.7364751818</v>
      </c>
      <c r="P26" s="43">
        <f t="shared" si="5"/>
        <v>3780162.9035931565</v>
      </c>
      <c r="Q26" s="86"/>
    </row>
    <row r="27" spans="2:17" x14ac:dyDescent="0.2">
      <c r="B27" s="42" t="s">
        <v>34</v>
      </c>
      <c r="C27" s="43">
        <f>SUMIF('Entrada CDRGL'!$E$8:$E$43,'Reliquidación CD RGL'!$B27,'Entrada CDRGL'!F$8:F$43)</f>
        <v>5547113</v>
      </c>
      <c r="D27" s="43">
        <f>SUMIF('Entrada CDRGL'!$E$8:$E$43,'Reliquidación CD RGL'!$B27,'Entrada CDRGL'!G$8:G$43)</f>
        <v>8393589</v>
      </c>
      <c r="E27" s="43">
        <f>SUMIF('Entrada CDRGL'!$E$8:$E$43,'Reliquidación CD RGL'!$B27,'Entrada CDRGL'!H$8:H$43)</f>
        <v>385170</v>
      </c>
      <c r="F27" s="43">
        <f>SUMIF('Entrada CDRGL'!$E$8:$E$43,'Reliquidación CD RGL'!$B27,'Entrada CDRGL'!I$8:I$43)</f>
        <v>97962</v>
      </c>
      <c r="G27" s="43">
        <f>SUMIF('Entrada CDRGL'!$E$8:$E$43,'Reliquidación CD RGL'!$B27,'Entrada CDRGL'!J$8:J$43)</f>
        <v>-2618573.2387491581</v>
      </c>
      <c r="H27" s="43">
        <v>0</v>
      </c>
      <c r="I27" s="43">
        <f t="shared" si="0"/>
        <v>0</v>
      </c>
      <c r="J27" s="43">
        <v>0</v>
      </c>
      <c r="K27" s="43">
        <f t="shared" si="2"/>
        <v>0</v>
      </c>
      <c r="L27" s="43">
        <f t="shared" si="3"/>
        <v>-2618573.2387491581</v>
      </c>
      <c r="M27" s="43">
        <f t="shared" si="4"/>
        <v>2618573.2387491581</v>
      </c>
      <c r="N27" s="43">
        <f t="shared" si="6"/>
        <v>0</v>
      </c>
      <c r="O27" s="43">
        <f t="shared" si="1"/>
        <v>2618573.2387491581</v>
      </c>
      <c r="P27" s="43">
        <f t="shared" si="5"/>
        <v>0</v>
      </c>
      <c r="Q27" s="86"/>
    </row>
    <row r="28" spans="2:17" x14ac:dyDescent="0.2">
      <c r="B28" s="42" t="s">
        <v>35</v>
      </c>
      <c r="C28" s="43">
        <f>SUMIF('Entrada CDRGL'!$E$8:$E$43,'Reliquidación CD RGL'!$B28,'Entrada CDRGL'!F$8:F$43)</f>
        <v>20343709.010000002</v>
      </c>
      <c r="D28" s="43">
        <f>SUMIF('Entrada CDRGL'!$E$8:$E$43,'Reliquidación CD RGL'!$B28,'Entrada CDRGL'!G$8:G$43)</f>
        <v>59942717.369999997</v>
      </c>
      <c r="E28" s="43">
        <f>SUMIF('Entrada CDRGL'!$E$8:$E$43,'Reliquidación CD RGL'!$B28,'Entrada CDRGL'!H$8:H$43)</f>
        <v>244851.97099999999</v>
      </c>
      <c r="F28" s="43">
        <f>SUMIF('Entrada CDRGL'!$E$8:$E$43,'Reliquidación CD RGL'!$B28,'Entrada CDRGL'!I$8:I$43)</f>
        <v>182729</v>
      </c>
      <c r="G28" s="43">
        <f>SUMIF('Entrada CDRGL'!$E$8:$E$43,'Reliquidación CD RGL'!$B28,'Entrada CDRGL'!J$8:J$43)</f>
        <v>-102683899.7636556</v>
      </c>
      <c r="H28" s="43">
        <v>0</v>
      </c>
      <c r="I28" s="43">
        <f t="shared" si="0"/>
        <v>0</v>
      </c>
      <c r="J28" s="43">
        <v>0</v>
      </c>
      <c r="K28" s="43">
        <f t="shared" si="2"/>
        <v>0</v>
      </c>
      <c r="L28" s="43">
        <f t="shared" si="3"/>
        <v>-102683899.7636556</v>
      </c>
      <c r="M28" s="43">
        <f t="shared" si="4"/>
        <v>102683899.7636556</v>
      </c>
      <c r="N28" s="43">
        <f t="shared" si="6"/>
        <v>0</v>
      </c>
      <c r="O28" s="43">
        <f t="shared" si="1"/>
        <v>102683899.7636556</v>
      </c>
      <c r="P28" s="43">
        <f t="shared" si="5"/>
        <v>0</v>
      </c>
      <c r="Q28" s="86"/>
    </row>
    <row r="29" spans="2:17" x14ac:dyDescent="0.2">
      <c r="B29" s="42" t="s">
        <v>36</v>
      </c>
      <c r="C29" s="43">
        <f>SUMIF('Entrada CDRGL'!$E$8:$E$43,'Reliquidación CD RGL'!$B29,'Entrada CDRGL'!F$8:F$43)</f>
        <v>7232589.8899999997</v>
      </c>
      <c r="D29" s="43">
        <f>SUMIF('Entrada CDRGL'!$E$8:$E$43,'Reliquidación CD RGL'!$B29,'Entrada CDRGL'!G$8:G$43)</f>
        <v>4284916.54</v>
      </c>
      <c r="E29" s="43">
        <f>SUMIF('Entrada CDRGL'!$E$8:$E$43,'Reliquidación CD RGL'!$B29,'Entrada CDRGL'!H$8:H$43)</f>
        <v>221082.74</v>
      </c>
      <c r="F29" s="43">
        <f>SUMIF('Entrada CDRGL'!$E$8:$E$43,'Reliquidación CD RGL'!$B29,'Entrada CDRGL'!I$8:I$43)</f>
        <v>24298</v>
      </c>
      <c r="G29" s="43">
        <f>SUMIF('Entrada CDRGL'!$E$8:$E$43,'Reliquidación CD RGL'!$B29,'Entrada CDRGL'!J$8:J$43)</f>
        <v>3186431.1654154281</v>
      </c>
      <c r="H29" s="43">
        <v>1002335.4678146401</v>
      </c>
      <c r="I29" s="43">
        <f t="shared" si="0"/>
        <v>1006279.4522298748</v>
      </c>
      <c r="J29" s="43">
        <v>0</v>
      </c>
      <c r="K29" s="43">
        <f t="shared" si="2"/>
        <v>0</v>
      </c>
      <c r="L29" s="43">
        <f t="shared" si="3"/>
        <v>4192710.6176453028</v>
      </c>
      <c r="M29" s="43">
        <f t="shared" si="4"/>
        <v>0</v>
      </c>
      <c r="N29" s="43">
        <f t="shared" si="6"/>
        <v>4192710.6176453028</v>
      </c>
      <c r="O29" s="43">
        <f t="shared" si="1"/>
        <v>-2223149.4212953225</v>
      </c>
      <c r="P29" s="43">
        <f t="shared" si="5"/>
        <v>1969561.1963499803</v>
      </c>
      <c r="Q29" s="86"/>
    </row>
    <row r="30" spans="2:17" x14ac:dyDescent="0.2">
      <c r="B30" s="42" t="s">
        <v>37</v>
      </c>
      <c r="C30" s="43">
        <f>SUMIF('Entrada CDRGL'!$E$8:$E$43,'Reliquidación CD RGL'!$B30,'Entrada CDRGL'!F$8:F$43)</f>
        <v>37963452.560000002</v>
      </c>
      <c r="D30" s="43">
        <f>SUMIF('Entrada CDRGL'!$E$8:$E$43,'Reliquidación CD RGL'!$B30,'Entrada CDRGL'!G$8:G$43)</f>
        <v>92895852.049999997</v>
      </c>
      <c r="E30" s="43">
        <f>SUMIF('Entrada CDRGL'!$E$8:$E$43,'Reliquidación CD RGL'!$B30,'Entrada CDRGL'!H$8:H$43)</f>
        <v>274390.12</v>
      </c>
      <c r="F30" s="43">
        <f>SUMIF('Entrada CDRGL'!$E$8:$E$43,'Reliquidación CD RGL'!$B30,'Entrada CDRGL'!I$8:I$43)</f>
        <v>269443.40000000002</v>
      </c>
      <c r="G30" s="43">
        <f>SUMIF('Entrada CDRGL'!$E$8:$E$43,'Reliquidación CD RGL'!$B30,'Entrada CDRGL'!J$8:J$43)</f>
        <v>-148325655.02751359</v>
      </c>
      <c r="H30" s="43">
        <v>0</v>
      </c>
      <c r="I30" s="43">
        <f t="shared" si="0"/>
        <v>0</v>
      </c>
      <c r="J30" s="43">
        <v>0</v>
      </c>
      <c r="K30" s="43">
        <f t="shared" si="2"/>
        <v>0</v>
      </c>
      <c r="L30" s="43">
        <f t="shared" si="3"/>
        <v>-148325655.02751359</v>
      </c>
      <c r="M30" s="43">
        <f t="shared" si="4"/>
        <v>148325655.02751359</v>
      </c>
      <c r="N30" s="43">
        <f t="shared" si="6"/>
        <v>0</v>
      </c>
      <c r="O30" s="43">
        <f t="shared" si="1"/>
        <v>148325655.02751359</v>
      </c>
      <c r="P30" s="43">
        <f t="shared" si="5"/>
        <v>0</v>
      </c>
      <c r="Q30" s="86"/>
    </row>
    <row r="31" spans="2:17" x14ac:dyDescent="0.2">
      <c r="B31" s="42" t="s">
        <v>38</v>
      </c>
      <c r="C31" s="43">
        <f>SUMIF('Entrada CDRGL'!$E$8:$E$43,'Reliquidación CD RGL'!$B31,'Entrada CDRGL'!F$8:F$43)</f>
        <v>2775139</v>
      </c>
      <c r="D31" s="43">
        <f>SUMIF('Entrada CDRGL'!$E$8:$E$43,'Reliquidación CD RGL'!$B31,'Entrada CDRGL'!G$8:G$43)</f>
        <v>3228410</v>
      </c>
      <c r="E31" s="43">
        <f>SUMIF('Entrada CDRGL'!$E$8:$E$43,'Reliquidación CD RGL'!$B31,'Entrada CDRGL'!H$8:H$43)</f>
        <v>34546</v>
      </c>
      <c r="F31" s="43">
        <f>SUMIF('Entrada CDRGL'!$E$8:$E$43,'Reliquidación CD RGL'!$B31,'Entrada CDRGL'!I$8:I$43)</f>
        <v>15593</v>
      </c>
      <c r="G31" s="43">
        <f>SUMIF('Entrada CDRGL'!$E$8:$E$43,'Reliquidación CD RGL'!$B31,'Entrada CDRGL'!J$8:J$43)</f>
        <v>4825021.6511879535</v>
      </c>
      <c r="H31" s="43">
        <v>1628305.8914367505</v>
      </c>
      <c r="I31" s="43">
        <f t="shared" si="0"/>
        <v>1634712.9410376819</v>
      </c>
      <c r="J31" s="43">
        <v>0</v>
      </c>
      <c r="K31" s="43">
        <f t="shared" si="2"/>
        <v>0</v>
      </c>
      <c r="L31" s="43">
        <f t="shared" si="3"/>
        <v>6459734.5922256354</v>
      </c>
      <c r="M31" s="43">
        <f t="shared" si="4"/>
        <v>0</v>
      </c>
      <c r="N31" s="43">
        <f t="shared" si="6"/>
        <v>6459734.5922256354</v>
      </c>
      <c r="O31" s="43">
        <f t="shared" si="1"/>
        <v>-3425219.7516300688</v>
      </c>
      <c r="P31" s="43">
        <f t="shared" si="5"/>
        <v>3034514.8405955667</v>
      </c>
      <c r="Q31" s="86"/>
    </row>
    <row r="32" spans="2:17" x14ac:dyDescent="0.2">
      <c r="B32" s="42" t="s">
        <v>39</v>
      </c>
      <c r="C32" s="43">
        <f>SUMIF('Entrada CDRGL'!$E$8:$E$43,'Reliquidación CD RGL'!$B32,'Entrada CDRGL'!F$8:F$43)</f>
        <v>47169688.200000003</v>
      </c>
      <c r="D32" s="43">
        <f>SUMIF('Entrada CDRGL'!$E$8:$E$43,'Reliquidación CD RGL'!$B32,'Entrada CDRGL'!G$8:G$43)</f>
        <v>129845747.15020999</v>
      </c>
      <c r="E32" s="43">
        <f>SUMIF('Entrada CDRGL'!$E$8:$E$43,'Reliquidación CD RGL'!$B32,'Entrada CDRGL'!H$8:H$43)</f>
        <v>2333169.5</v>
      </c>
      <c r="F32" s="43">
        <f>SUMIF('Entrada CDRGL'!$E$8:$E$43,'Reliquidación CD RGL'!$B32,'Entrada CDRGL'!I$8:I$43)</f>
        <v>871069.2</v>
      </c>
      <c r="G32" s="43">
        <f>SUMIF('Entrada CDRGL'!$E$8:$E$43,'Reliquidación CD RGL'!$B32,'Entrada CDRGL'!J$8:J$43)</f>
        <v>-260181803.62076369</v>
      </c>
      <c r="H32" s="43">
        <v>0</v>
      </c>
      <c r="I32" s="43">
        <f t="shared" si="0"/>
        <v>0</v>
      </c>
      <c r="J32" s="43">
        <v>0</v>
      </c>
      <c r="K32" s="43">
        <f t="shared" si="2"/>
        <v>0</v>
      </c>
      <c r="L32" s="43">
        <f t="shared" si="3"/>
        <v>-260181803.62076369</v>
      </c>
      <c r="M32" s="43">
        <f t="shared" si="4"/>
        <v>260181803.62076369</v>
      </c>
      <c r="N32" s="43">
        <f t="shared" si="6"/>
        <v>0</v>
      </c>
      <c r="O32" s="43">
        <f t="shared" si="1"/>
        <v>260181803.62076369</v>
      </c>
      <c r="P32" s="43">
        <f t="shared" si="5"/>
        <v>0</v>
      </c>
      <c r="Q32" s="86"/>
    </row>
    <row r="33" spans="2:17" x14ac:dyDescent="0.2">
      <c r="B33" s="42" t="s">
        <v>40</v>
      </c>
      <c r="C33" s="43">
        <f>SUMIF('Entrada CDRGL'!$E$8:$E$43,'Reliquidación CD RGL'!$B33,'Entrada CDRGL'!F$8:F$43)</f>
        <v>2024167.1</v>
      </c>
      <c r="D33" s="43">
        <f>SUMIF('Entrada CDRGL'!$E$8:$E$43,'Reliquidación CD RGL'!$B33,'Entrada CDRGL'!G$8:G$43)</f>
        <v>3180908.1</v>
      </c>
      <c r="E33" s="43">
        <f>SUMIF('Entrada CDRGL'!$E$8:$E$43,'Reliquidación CD RGL'!$B33,'Entrada CDRGL'!H$8:H$43)</f>
        <v>43633</v>
      </c>
      <c r="F33" s="43">
        <f>SUMIF('Entrada CDRGL'!$E$8:$E$43,'Reliquidación CD RGL'!$B33,'Entrada CDRGL'!I$8:I$43)</f>
        <v>103787.1</v>
      </c>
      <c r="G33" s="43">
        <f>SUMIF('Entrada CDRGL'!$E$8:$E$43,'Reliquidación CD RGL'!$B33,'Entrada CDRGL'!J$8:J$43)</f>
        <v>8091925.5078930603</v>
      </c>
      <c r="H33" s="43">
        <v>2397504.2904062588</v>
      </c>
      <c r="I33" s="43">
        <f t="shared" si="0"/>
        <v>2406937.9778895886</v>
      </c>
      <c r="J33" s="43">
        <v>0</v>
      </c>
      <c r="K33" s="43">
        <f t="shared" si="2"/>
        <v>0</v>
      </c>
      <c r="L33" s="43">
        <f t="shared" si="3"/>
        <v>10498863.485782649</v>
      </c>
      <c r="M33" s="43">
        <f t="shared" si="4"/>
        <v>0</v>
      </c>
      <c r="N33" s="43">
        <f t="shared" si="6"/>
        <v>10498863.485782649</v>
      </c>
      <c r="O33" s="43">
        <f t="shared" si="1"/>
        <v>-5566933.7598559875</v>
      </c>
      <c r="P33" s="43">
        <f t="shared" si="5"/>
        <v>4931929.7259266619</v>
      </c>
      <c r="Q33" s="86"/>
    </row>
    <row r="34" spans="2:17" x14ac:dyDescent="0.2">
      <c r="B34" s="42" t="s">
        <v>41</v>
      </c>
      <c r="C34" s="43">
        <f>SUMIF('Entrada CDRGL'!$E$8:$E$43,'Reliquidación CD RGL'!$B34,'Entrada CDRGL'!F$8:F$43)</f>
        <v>1599535.9</v>
      </c>
      <c r="D34" s="43">
        <f>SUMIF('Entrada CDRGL'!$E$8:$E$43,'Reliquidación CD RGL'!$B34,'Entrada CDRGL'!G$8:G$43)</f>
        <v>11659642.3651</v>
      </c>
      <c r="E34" s="43">
        <f>SUMIF('Entrada CDRGL'!$E$8:$E$43,'Reliquidación CD RGL'!$B34,'Entrada CDRGL'!H$8:H$43)</f>
        <v>2846</v>
      </c>
      <c r="F34" s="43">
        <f>SUMIF('Entrada CDRGL'!$E$8:$E$43,'Reliquidación CD RGL'!$B34,'Entrada CDRGL'!I$8:I$43)</f>
        <v>57695</v>
      </c>
      <c r="G34" s="43">
        <f>SUMIF('Entrada CDRGL'!$E$8:$E$43,'Reliquidación CD RGL'!$B34,'Entrada CDRGL'!J$8:J$43)</f>
        <v>20899131.312395569</v>
      </c>
      <c r="H34" s="43">
        <v>5014032.2637728602</v>
      </c>
      <c r="I34" s="43">
        <f t="shared" si="0"/>
        <v>5033761.4519945635</v>
      </c>
      <c r="J34" s="43">
        <v>0</v>
      </c>
      <c r="K34" s="43">
        <f t="shared" si="2"/>
        <v>0</v>
      </c>
      <c r="L34" s="43">
        <f t="shared" si="3"/>
        <v>25932892.764390133</v>
      </c>
      <c r="M34" s="43">
        <f t="shared" si="4"/>
        <v>0</v>
      </c>
      <c r="N34" s="43">
        <f t="shared" si="6"/>
        <v>25932892.764390133</v>
      </c>
      <c r="O34" s="43">
        <f t="shared" si="1"/>
        <v>-13750697.531814467</v>
      </c>
      <c r="P34" s="43">
        <f t="shared" si="5"/>
        <v>12182195.232575666</v>
      </c>
      <c r="Q34" s="86"/>
    </row>
    <row r="35" spans="2:17" x14ac:dyDescent="0.2">
      <c r="B35" s="42" t="s">
        <v>42</v>
      </c>
      <c r="C35" s="43">
        <f>SUMIF('Entrada CDRGL'!$E$8:$E$43,'Reliquidación CD RGL'!$B35,'Entrada CDRGL'!F$8:F$43)</f>
        <v>8000439.7999999998</v>
      </c>
      <c r="D35" s="43">
        <f>SUMIF('Entrada CDRGL'!$E$8:$E$43,'Reliquidación CD RGL'!$B35,'Entrada CDRGL'!G$8:G$43)</f>
        <v>6815829.9396000002</v>
      </c>
      <c r="E35" s="43">
        <f>SUMIF('Entrada CDRGL'!$E$8:$E$43,'Reliquidación CD RGL'!$B35,'Entrada CDRGL'!H$8:H$43)</f>
        <v>335599</v>
      </c>
      <c r="F35" s="43">
        <f>SUMIF('Entrada CDRGL'!$E$8:$E$43,'Reliquidación CD RGL'!$B35,'Entrada CDRGL'!I$8:I$43)</f>
        <v>39272.500200000002</v>
      </c>
      <c r="G35" s="43">
        <f>SUMIF('Entrada CDRGL'!$E$8:$E$43,'Reliquidación CD RGL'!$B35,'Entrada CDRGL'!J$8:J$43)</f>
        <v>-64306906.495195493</v>
      </c>
      <c r="H35" s="43">
        <v>0</v>
      </c>
      <c r="I35" s="43">
        <f t="shared" si="0"/>
        <v>0</v>
      </c>
      <c r="J35" s="43">
        <v>0</v>
      </c>
      <c r="K35" s="43">
        <f t="shared" si="2"/>
        <v>0</v>
      </c>
      <c r="L35" s="43">
        <f t="shared" si="3"/>
        <v>-64306906.495195493</v>
      </c>
      <c r="M35" s="43">
        <f t="shared" si="4"/>
        <v>64306906.495195493</v>
      </c>
      <c r="N35" s="43">
        <f t="shared" si="6"/>
        <v>0</v>
      </c>
      <c r="O35" s="43">
        <f t="shared" si="1"/>
        <v>64306906.495195493</v>
      </c>
      <c r="P35" s="43">
        <f t="shared" si="5"/>
        <v>0</v>
      </c>
      <c r="Q35" s="86"/>
    </row>
    <row r="36" spans="2:17" x14ac:dyDescent="0.2">
      <c r="B36" s="42" t="s">
        <v>43</v>
      </c>
      <c r="C36" s="43">
        <f>SUMIF('Entrada CDRGL'!$E$8:$E$43,'Reliquidación CD RGL'!$B36,'Entrada CDRGL'!F$8:F$43)</f>
        <v>9889670.5999999996</v>
      </c>
      <c r="D36" s="43">
        <f>SUMIF('Entrada CDRGL'!$E$8:$E$43,'Reliquidación CD RGL'!$B36,'Entrada CDRGL'!G$8:G$43)</f>
        <v>5446425.7867000001</v>
      </c>
      <c r="E36" s="43">
        <f>SUMIF('Entrada CDRGL'!$E$8:$E$43,'Reliquidación CD RGL'!$B36,'Entrada CDRGL'!H$8:H$43)</f>
        <v>260291</v>
      </c>
      <c r="F36" s="43">
        <f>SUMIF('Entrada CDRGL'!$E$8:$E$43,'Reliquidación CD RGL'!$B36,'Entrada CDRGL'!I$8:I$43)</f>
        <v>76425</v>
      </c>
      <c r="G36" s="43">
        <f>SUMIF('Entrada CDRGL'!$E$8:$E$43,'Reliquidación CD RGL'!$B36,'Entrada CDRGL'!J$8:J$43)</f>
        <v>20323545.875247341</v>
      </c>
      <c r="H36" s="43">
        <v>7263912.4391950294</v>
      </c>
      <c r="I36" s="43">
        <f t="shared" si="0"/>
        <v>7292494.4442958524</v>
      </c>
      <c r="J36" s="43">
        <v>0</v>
      </c>
      <c r="K36" s="43">
        <f t="shared" si="2"/>
        <v>0</v>
      </c>
      <c r="L36" s="43">
        <f t="shared" si="3"/>
        <v>27616040.319543194</v>
      </c>
      <c r="M36" s="43">
        <f t="shared" si="4"/>
        <v>0</v>
      </c>
      <c r="N36" s="43">
        <f t="shared" si="6"/>
        <v>27616040.319543194</v>
      </c>
      <c r="O36" s="43">
        <f t="shared" si="1"/>
        <v>-14643172.318279618</v>
      </c>
      <c r="P36" s="43">
        <f t="shared" si="5"/>
        <v>12972868.001263576</v>
      </c>
      <c r="Q36" s="86"/>
    </row>
    <row r="37" spans="2:17" x14ac:dyDescent="0.2">
      <c r="B37" s="42" t="s">
        <v>45</v>
      </c>
      <c r="C37" s="43">
        <f>SUMIF('Entrada CDRGL'!$E$8:$E$43,'Reliquidación CD RGL'!$B37,'Entrada CDRGL'!F$8:F$43)</f>
        <v>631486</v>
      </c>
      <c r="D37" s="43">
        <f>SUMIF('Entrada CDRGL'!$E$8:$E$43,'Reliquidación CD RGL'!$B37,'Entrada CDRGL'!G$8:G$43)</f>
        <v>991478</v>
      </c>
      <c r="E37" s="43">
        <f>SUMIF('Entrada CDRGL'!$E$8:$E$43,'Reliquidación CD RGL'!$B37,'Entrada CDRGL'!H$8:H$43)</f>
        <v>34425</v>
      </c>
      <c r="F37" s="43">
        <f>SUMIF('Entrada CDRGL'!$E$8:$E$43,'Reliquidación CD RGL'!$B37,'Entrada CDRGL'!I$8:I$43)</f>
        <v>12094</v>
      </c>
      <c r="G37" s="43">
        <f>SUMIF('Entrada CDRGL'!$E$8:$E$43,'Reliquidación CD RGL'!$B37,'Entrada CDRGL'!J$8:J$43)</f>
        <v>-14077598.925839029</v>
      </c>
      <c r="H37" s="43">
        <v>0</v>
      </c>
      <c r="I37" s="43">
        <f t="shared" si="0"/>
        <v>0</v>
      </c>
      <c r="J37" s="43">
        <v>0</v>
      </c>
      <c r="K37" s="43">
        <f t="shared" si="2"/>
        <v>0</v>
      </c>
      <c r="L37" s="43">
        <f t="shared" si="3"/>
        <v>-14077598.925839029</v>
      </c>
      <c r="M37" s="43">
        <f t="shared" si="4"/>
        <v>14077598.925839029</v>
      </c>
      <c r="N37" s="43">
        <f t="shared" si="6"/>
        <v>0</v>
      </c>
      <c r="O37" s="43">
        <f t="shared" si="1"/>
        <v>14077598.925839029</v>
      </c>
      <c r="P37" s="43">
        <f t="shared" si="5"/>
        <v>0</v>
      </c>
      <c r="Q37" s="86"/>
    </row>
    <row r="38" spans="2:17" x14ac:dyDescent="0.2">
      <c r="B38" s="42" t="s">
        <v>46</v>
      </c>
      <c r="C38" s="43">
        <f>SUMIF('Entrada CDRGL'!$E$8:$E$43,'Reliquidación CD RGL'!$B38,'Entrada CDRGL'!F$8:F$43)</f>
        <v>3488306.997</v>
      </c>
      <c r="D38" s="43">
        <f>SUMIF('Entrada CDRGL'!$E$8:$E$43,'Reliquidación CD RGL'!$B38,'Entrada CDRGL'!G$8:G$43)</f>
        <v>17890534.035999998</v>
      </c>
      <c r="E38" s="43">
        <f>SUMIF('Entrada CDRGL'!$E$8:$E$43,'Reliquidación CD RGL'!$B38,'Entrada CDRGL'!H$8:H$43)</f>
        <v>6102</v>
      </c>
      <c r="F38" s="43">
        <f>SUMIF('Entrada CDRGL'!$E$8:$E$43,'Reliquidación CD RGL'!$B38,'Entrada CDRGL'!I$8:I$43)</f>
        <v>25475.017</v>
      </c>
      <c r="G38" s="43">
        <f>SUMIF('Entrada CDRGL'!$E$8:$E$43,'Reliquidación CD RGL'!$B38,'Entrada CDRGL'!J$8:J$43)</f>
        <v>32189275.345589329</v>
      </c>
      <c r="H38" s="43">
        <v>11272958.063433979</v>
      </c>
      <c r="I38" s="43">
        <f t="shared" si="0"/>
        <v>11317314.8405245</v>
      </c>
      <c r="J38" s="43">
        <v>0</v>
      </c>
      <c r="K38" s="43">
        <f t="shared" si="2"/>
        <v>0</v>
      </c>
      <c r="L38" s="43">
        <f t="shared" si="3"/>
        <v>43506590.186113827</v>
      </c>
      <c r="M38" s="43">
        <f>IF(L38&lt;0,-L38,0)</f>
        <v>0</v>
      </c>
      <c r="N38" s="43">
        <f>IF(L38&gt;0,L38,0)</f>
        <v>43506590.186113827</v>
      </c>
      <c r="O38" s="43">
        <f t="shared" si="1"/>
        <v>-23069002.279273029</v>
      </c>
      <c r="P38" s="43">
        <f t="shared" si="5"/>
        <v>20437587.906840798</v>
      </c>
      <c r="Q38" s="86"/>
    </row>
    <row r="39" spans="2:17" x14ac:dyDescent="0.2">
      <c r="B39" s="42" t="s">
        <v>47</v>
      </c>
      <c r="C39" s="43">
        <f>SUMIF('Entrada CDRGL'!$E$8:$E$43,'Reliquidación CD RGL'!$B39,'Entrada CDRGL'!F$8:F$43)</f>
        <v>5923962.2429999998</v>
      </c>
      <c r="D39" s="43">
        <f>SUMIF('Entrada CDRGL'!$E$8:$E$43,'Reliquidación CD RGL'!$B39,'Entrada CDRGL'!G$8:G$43)</f>
        <v>26188400.357999999</v>
      </c>
      <c r="E39" s="43">
        <f>SUMIF('Entrada CDRGL'!$E$8:$E$43,'Reliquidación CD RGL'!$B39,'Entrada CDRGL'!H$8:H$43)</f>
        <v>15941.1</v>
      </c>
      <c r="F39" s="43">
        <f>SUMIF('Entrada CDRGL'!$E$8:$E$43,'Reliquidación CD RGL'!$B39,'Entrada CDRGL'!I$8:I$43)</f>
        <v>14894.528</v>
      </c>
      <c r="G39" s="43">
        <f>SUMIF('Entrada CDRGL'!$E$8:$E$43,'Reliquidación CD RGL'!$B39,'Entrada CDRGL'!J$8:J$43)</f>
        <v>-89230853.31280382</v>
      </c>
      <c r="H39" s="43">
        <v>0</v>
      </c>
      <c r="I39" s="43">
        <f t="shared" si="0"/>
        <v>0</v>
      </c>
      <c r="J39" s="43">
        <v>0</v>
      </c>
      <c r="K39" s="43">
        <f t="shared" si="2"/>
        <v>0</v>
      </c>
      <c r="L39" s="43">
        <f t="shared" si="3"/>
        <v>-89230853.31280382</v>
      </c>
      <c r="M39" s="43">
        <f t="shared" si="4"/>
        <v>89230853.31280382</v>
      </c>
      <c r="N39" s="43">
        <f t="shared" si="6"/>
        <v>0</v>
      </c>
      <c r="O39" s="43">
        <f t="shared" si="1"/>
        <v>89230853.31280382</v>
      </c>
      <c r="P39" s="43">
        <f t="shared" si="5"/>
        <v>0</v>
      </c>
      <c r="Q39" s="86"/>
    </row>
    <row r="40" spans="2:17" x14ac:dyDescent="0.2">
      <c r="B40" s="42" t="s">
        <v>48</v>
      </c>
      <c r="C40" s="43">
        <f>SUMIF('Entrada CDRGL'!$E$8:$E$43,'Reliquidación CD RGL'!$B40,'Entrada CDRGL'!F$8:F$43)</f>
        <v>10363964.34</v>
      </c>
      <c r="D40" s="43">
        <f>SUMIF('Entrada CDRGL'!$E$8:$E$43,'Reliquidación CD RGL'!$B40,'Entrada CDRGL'!G$8:G$43)</f>
        <v>48028105.623999998</v>
      </c>
      <c r="E40" s="43">
        <f>SUMIF('Entrada CDRGL'!$E$8:$E$43,'Reliquidación CD RGL'!$B40,'Entrada CDRGL'!H$8:H$43)</f>
        <v>79292.58</v>
      </c>
      <c r="F40" s="43">
        <f>SUMIF('Entrada CDRGL'!$E$8:$E$43,'Reliquidación CD RGL'!$B40,'Entrada CDRGL'!I$8:I$43)</f>
        <v>73327.173999999999</v>
      </c>
      <c r="G40" s="43">
        <f>SUMIF('Entrada CDRGL'!$E$8:$E$43,'Reliquidación CD RGL'!$B40,'Entrada CDRGL'!J$8:J$43)</f>
        <v>-65957043.787241071</v>
      </c>
      <c r="H40" s="43">
        <v>0</v>
      </c>
      <c r="I40" s="43">
        <f t="shared" si="0"/>
        <v>0</v>
      </c>
      <c r="J40" s="43">
        <v>0</v>
      </c>
      <c r="K40" s="43">
        <f t="shared" si="2"/>
        <v>0</v>
      </c>
      <c r="L40" s="43">
        <f t="shared" si="3"/>
        <v>-65957043.787241071</v>
      </c>
      <c r="M40" s="43">
        <f t="shared" si="4"/>
        <v>65957043.787241071</v>
      </c>
      <c r="N40" s="43">
        <f t="shared" si="6"/>
        <v>0</v>
      </c>
      <c r="O40" s="43">
        <f t="shared" si="1"/>
        <v>65957043.787241071</v>
      </c>
      <c r="P40" s="43">
        <f t="shared" si="5"/>
        <v>0</v>
      </c>
      <c r="Q40" s="86"/>
    </row>
    <row r="41" spans="2:17" x14ac:dyDescent="0.2">
      <c r="B41" s="42" t="s">
        <v>49</v>
      </c>
      <c r="C41" s="43">
        <f>SUMIF('Entrada CDRGL'!$E$8:$E$43,'Reliquidación CD RGL'!$B41,'Entrada CDRGL'!F$8:F$43)</f>
        <v>0</v>
      </c>
      <c r="D41" s="43">
        <f>SUMIF('Entrada CDRGL'!$E$8:$E$43,'Reliquidación CD RGL'!$B41,'Entrada CDRGL'!G$8:G$43)</f>
        <v>0</v>
      </c>
      <c r="E41" s="43">
        <f>SUMIF('Entrada CDRGL'!$E$8:$E$43,'Reliquidación CD RGL'!$B41,'Entrada CDRGL'!H$8:H$43)</f>
        <v>0</v>
      </c>
      <c r="F41" s="43">
        <f>SUMIF('Entrada CDRGL'!$E$8:$E$43,'Reliquidación CD RGL'!$B41,'Entrada CDRGL'!I$8:I$43)</f>
        <v>0</v>
      </c>
      <c r="G41" s="43">
        <f>SUMIF('Entrada CDRGL'!$E$8:$E$43,'Reliquidación CD RGL'!$B41,'Entrada CDRGL'!J$8:J$43)</f>
        <v>0</v>
      </c>
      <c r="H41" s="43">
        <v>0</v>
      </c>
      <c r="I41" s="43">
        <f t="shared" si="0"/>
        <v>0</v>
      </c>
      <c r="J41" s="43">
        <v>0</v>
      </c>
      <c r="K41" s="43">
        <f t="shared" si="2"/>
        <v>0</v>
      </c>
      <c r="L41" s="43">
        <f t="shared" si="3"/>
        <v>0</v>
      </c>
      <c r="M41" s="43">
        <f>IF(L41&lt;0,-L41,0)</f>
        <v>0</v>
      </c>
      <c r="N41" s="43">
        <f>IF(L41&gt;0,L41,0)</f>
        <v>0</v>
      </c>
      <c r="O41" s="43">
        <f t="shared" si="1"/>
        <v>0</v>
      </c>
      <c r="P41" s="43">
        <f>L41+O41</f>
        <v>0</v>
      </c>
      <c r="Q41" s="86"/>
    </row>
    <row r="42" spans="2:17" x14ac:dyDescent="0.2">
      <c r="B42" s="42" t="s">
        <v>50</v>
      </c>
      <c r="C42" s="43">
        <f>SUMIF('Entrada CDRGL'!$E$8:$E$43,'Reliquidación CD RGL'!$B42,'Entrada CDRGL'!F$8:F$43)</f>
        <v>0</v>
      </c>
      <c r="D42" s="43">
        <f>SUMIF('Entrada CDRGL'!$E$8:$E$43,'Reliquidación CD RGL'!$B42,'Entrada CDRGL'!G$8:G$43)</f>
        <v>7680.2999999999993</v>
      </c>
      <c r="E42" s="43">
        <f>SUMIF('Entrada CDRGL'!$E$8:$E$43,'Reliquidación CD RGL'!$B42,'Entrada CDRGL'!H$8:H$43)</f>
        <v>0</v>
      </c>
      <c r="F42" s="43">
        <f>SUMIF('Entrada CDRGL'!$E$8:$E$43,'Reliquidación CD RGL'!$B42,'Entrada CDRGL'!I$8:I$43)</f>
        <v>0</v>
      </c>
      <c r="G42" s="43">
        <f>SUMIF('Entrada CDRGL'!$E$8:$E$43,'Reliquidación CD RGL'!$B42,'Entrada CDRGL'!J$8:J$43)</f>
        <v>0</v>
      </c>
      <c r="H42" s="43">
        <v>0</v>
      </c>
      <c r="I42" s="43">
        <f t="shared" si="0"/>
        <v>0</v>
      </c>
      <c r="J42" s="43">
        <v>0</v>
      </c>
      <c r="K42" s="43">
        <f t="shared" si="2"/>
        <v>0</v>
      </c>
      <c r="L42" s="43">
        <f t="shared" si="3"/>
        <v>0</v>
      </c>
      <c r="M42" s="43">
        <f>IF(L42&lt;0,-L42,0)</f>
        <v>0</v>
      </c>
      <c r="N42" s="43">
        <f>IF(L42&gt;0,L42,0)</f>
        <v>0</v>
      </c>
      <c r="O42" s="43">
        <f t="shared" si="1"/>
        <v>0</v>
      </c>
      <c r="P42" s="43">
        <f>L42+O42</f>
        <v>0</v>
      </c>
      <c r="Q42" s="86"/>
    </row>
    <row r="43" spans="2:17" x14ac:dyDescent="0.2">
      <c r="B43" s="44" t="s">
        <v>51</v>
      </c>
      <c r="C43" s="45">
        <f>SUMIF('Entrada CDRGL'!$E$8:$E$43,'Reliquidación CD RGL'!$B43,'Entrada CDRGL'!F$8:F$43)</f>
        <v>32785.800000000003</v>
      </c>
      <c r="D43" s="45">
        <f>SUMIF('Entrada CDRGL'!$E$8:$E$43,'Reliquidación CD RGL'!$B43,'Entrada CDRGL'!G$8:G$43)</f>
        <v>63849.399999999987</v>
      </c>
      <c r="E43" s="45">
        <f>SUMIF('Entrada CDRGL'!$E$8:$E$43,'Reliquidación CD RGL'!$B43,'Entrada CDRGL'!H$8:H$43)</f>
        <v>0</v>
      </c>
      <c r="F43" s="45">
        <f>SUMIF('Entrada CDRGL'!$E$8:$E$43,'Reliquidación CD RGL'!$B43,'Entrada CDRGL'!I$8:I$43)</f>
        <v>0</v>
      </c>
      <c r="G43" s="45">
        <f>SUMIF('Entrada CDRGL'!$E$8:$E$43,'Reliquidación CD RGL'!$B43,'Entrada CDRGL'!J$8:J$43)</f>
        <v>-2286363.255466803</v>
      </c>
      <c r="H43" s="45">
        <v>0</v>
      </c>
      <c r="I43" s="45">
        <f t="shared" si="0"/>
        <v>0</v>
      </c>
      <c r="J43" s="45">
        <v>0</v>
      </c>
      <c r="K43" s="45">
        <f t="shared" si="2"/>
        <v>0</v>
      </c>
      <c r="L43" s="45">
        <f t="shared" si="3"/>
        <v>-2286363.255466803</v>
      </c>
      <c r="M43" s="45">
        <f t="shared" si="4"/>
        <v>2286363.255466803</v>
      </c>
      <c r="N43" s="45">
        <f t="shared" si="6"/>
        <v>0</v>
      </c>
      <c r="O43" s="45">
        <f>IF(OR($M$44=0,$N$44=0),0,((M43/$M$44-N43/$N$44)*$N$49))</f>
        <v>2286363.255466803</v>
      </c>
      <c r="P43" s="45">
        <f t="shared" si="5"/>
        <v>0</v>
      </c>
      <c r="Q43" s="86"/>
    </row>
    <row r="44" spans="2:17" x14ac:dyDescent="0.2">
      <c r="B44" s="46" t="s">
        <v>66</v>
      </c>
      <c r="C44" s="16">
        <f t="shared" ref="C44:O44" si="7">SUM(C9:C43)</f>
        <v>550593057.95993447</v>
      </c>
      <c r="D44" s="16">
        <f t="shared" si="7"/>
        <v>1696300991.8939717</v>
      </c>
      <c r="E44" s="16">
        <f t="shared" si="7"/>
        <v>10893095.265000001</v>
      </c>
      <c r="F44" s="16">
        <f t="shared" si="7"/>
        <v>2094804.5562</v>
      </c>
      <c r="G44" s="16">
        <f t="shared" si="7"/>
        <v>459840902.07995832</v>
      </c>
      <c r="H44" s="16">
        <f>SUM(H9:H43)</f>
        <v>466776089.21054947</v>
      </c>
      <c r="I44" s="16">
        <f>SUM(I9:I43)</f>
        <v>468612757.35246825</v>
      </c>
      <c r="J44" s="16">
        <f t="shared" ref="J44:K44" si="8">SUM(J9:J43)</f>
        <v>0</v>
      </c>
      <c r="K44" s="16">
        <f t="shared" si="8"/>
        <v>0</v>
      </c>
      <c r="L44" s="16">
        <f>SUM(L9:L43)</f>
        <v>928453659.43242705</v>
      </c>
      <c r="M44" s="16">
        <f t="shared" si="7"/>
        <v>1047995472.0330238</v>
      </c>
      <c r="N44" s="16">
        <f t="shared" si="7"/>
        <v>1976449131.465451</v>
      </c>
      <c r="O44" s="16">
        <f t="shared" si="7"/>
        <v>-9.0338289737701416E-8</v>
      </c>
      <c r="P44" s="16">
        <f>SUM(P9:P43)</f>
        <v>928453659.43242717</v>
      </c>
    </row>
    <row r="45" spans="2:17" x14ac:dyDescent="0.2">
      <c r="B45" s="50"/>
      <c r="C45"/>
      <c r="D45"/>
      <c r="E45"/>
      <c r="F45"/>
      <c r="G45"/>
      <c r="H45"/>
      <c r="I45"/>
      <c r="J45"/>
      <c r="K45"/>
      <c r="L45"/>
      <c r="M45" s="51"/>
      <c r="N45" s="51"/>
      <c r="O45"/>
    </row>
    <row r="46" spans="2:17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7" x14ac:dyDescent="0.2">
      <c r="B47"/>
      <c r="C47"/>
      <c r="H47" s="58"/>
      <c r="I47" s="17"/>
      <c r="J47" s="17"/>
      <c r="K47" s="17"/>
      <c r="L47" s="17"/>
      <c r="M47" s="7" t="s">
        <v>92</v>
      </c>
      <c r="N47" s="53">
        <f>N44</f>
        <v>1976449131.465451</v>
      </c>
      <c r="O47"/>
    </row>
    <row r="48" spans="2:17" x14ac:dyDescent="0.2">
      <c r="B48"/>
      <c r="C48"/>
      <c r="H48" s="52"/>
      <c r="I48" s="17"/>
      <c r="J48" s="17"/>
      <c r="K48" s="17"/>
      <c r="L48" s="17"/>
      <c r="M48" s="7" t="s">
        <v>93</v>
      </c>
      <c r="N48" s="53">
        <f>M44</f>
        <v>1047995472.0330238</v>
      </c>
      <c r="O48"/>
    </row>
    <row r="49" spans="2:16" x14ac:dyDescent="0.2">
      <c r="B49"/>
      <c r="C49"/>
      <c r="H49" s="52"/>
      <c r="I49"/>
      <c r="J49"/>
      <c r="K49"/>
      <c r="L49"/>
      <c r="M49" s="7" t="s">
        <v>69</v>
      </c>
      <c r="N49" s="53">
        <f>+IF(N48&lt;N47,N48,N47)</f>
        <v>1047995472.0330238</v>
      </c>
      <c r="O49"/>
      <c r="P49" s="54"/>
    </row>
    <row r="50" spans="2:16" x14ac:dyDescent="0.2">
      <c r="M50" s="17"/>
      <c r="N50"/>
    </row>
    <row r="51" spans="2:16" x14ac:dyDescent="0.2">
      <c r="G51" s="54"/>
      <c r="H51" s="54"/>
    </row>
    <row r="52" spans="2:16" x14ac:dyDescent="0.2">
      <c r="H52" s="11"/>
    </row>
  </sheetData>
  <dataConsolidate/>
  <mergeCells count="15">
    <mergeCell ref="N6:N7"/>
    <mergeCell ref="O6:O7"/>
    <mergeCell ref="P6:P7"/>
    <mergeCell ref="H6:H7"/>
    <mergeCell ref="I6:I7"/>
    <mergeCell ref="J6:J7"/>
    <mergeCell ref="K6:K7"/>
    <mergeCell ref="L6:L7"/>
    <mergeCell ref="M6:M7"/>
    <mergeCell ref="B6:B8"/>
    <mergeCell ref="C6:C7"/>
    <mergeCell ref="D6:D7"/>
    <mergeCell ref="E6:E7"/>
    <mergeCell ref="F6:F7"/>
    <mergeCell ref="G6:G7"/>
  </mergeCells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F0F95-0553-483B-A944-67F2329018EA}">
  <sheetPr codeName="Hoja2">
    <tabColor theme="9" tint="0.59999389629810485"/>
  </sheetPr>
  <dimension ref="A2:T82"/>
  <sheetViews>
    <sheetView zoomScale="70" zoomScaleNormal="70" workbookViewId="0"/>
  </sheetViews>
  <sheetFormatPr baseColWidth="10" defaultColWidth="11.42578125" defaultRowHeight="12.75" x14ac:dyDescent="0.2"/>
  <cols>
    <col min="1" max="1" width="9.140625" style="87" customWidth="1"/>
    <col min="2" max="2" width="28" style="87" customWidth="1"/>
    <col min="3" max="3" width="17" style="87" customWidth="1"/>
    <col min="4" max="4" width="18.7109375" style="87" customWidth="1"/>
    <col min="5" max="5" width="20" style="87" customWidth="1"/>
    <col min="6" max="6" width="21.85546875" style="87" customWidth="1"/>
    <col min="7" max="7" width="18.140625" style="87" customWidth="1"/>
    <col min="8" max="8" width="14.5703125" style="87" customWidth="1"/>
    <col min="9" max="9" width="21.42578125" style="87" customWidth="1"/>
    <col min="10" max="10" width="17.42578125" style="87" customWidth="1"/>
    <col min="11" max="13" width="19.42578125" style="87" customWidth="1"/>
    <col min="14" max="14" width="15.42578125" style="87" bestFit="1" customWidth="1"/>
    <col min="15" max="15" width="15.28515625" style="87" bestFit="1" customWidth="1"/>
    <col min="16" max="16" width="14" style="87" bestFit="1" customWidth="1"/>
    <col min="17" max="21" width="10.85546875" style="87" customWidth="1"/>
    <col min="22" max="22" width="13.28515625" style="87" bestFit="1" customWidth="1"/>
    <col min="23" max="23" width="15.85546875" style="87" bestFit="1" customWidth="1"/>
    <col min="24" max="24" width="17" style="87" bestFit="1" customWidth="1"/>
    <col min="25" max="25" width="17.85546875" style="87" customWidth="1"/>
    <col min="26" max="16384" width="11.42578125" style="87"/>
  </cols>
  <sheetData>
    <row r="2" spans="1:10" x14ac:dyDescent="0.2">
      <c r="B2" s="88" t="s">
        <v>94</v>
      </c>
      <c r="C2" s="88"/>
      <c r="D2" s="88"/>
      <c r="E2" s="88"/>
      <c r="F2" s="88"/>
      <c r="G2" s="88"/>
      <c r="H2" s="88"/>
      <c r="J2" s="50" t="s">
        <v>95</v>
      </c>
    </row>
    <row r="3" spans="1:10" x14ac:dyDescent="0.2">
      <c r="B3" s="89">
        <f>FechaFacturacion</f>
        <v>45689</v>
      </c>
      <c r="C3" s="90"/>
      <c r="D3" s="90"/>
      <c r="E3" s="90"/>
      <c r="F3" s="90"/>
      <c r="G3" s="90"/>
      <c r="H3" s="90"/>
    </row>
    <row r="6" spans="1:10" ht="12.75" customHeight="1" x14ac:dyDescent="0.2">
      <c r="B6" s="91" t="s">
        <v>6</v>
      </c>
      <c r="C6" s="92" t="s">
        <v>78</v>
      </c>
      <c r="E6" s="91" t="s">
        <v>6</v>
      </c>
      <c r="F6" s="29" t="s">
        <v>79</v>
      </c>
      <c r="G6" s="92" t="s">
        <v>80</v>
      </c>
      <c r="I6" s="91" t="s">
        <v>81</v>
      </c>
      <c r="J6" s="93" cm="1">
        <f t="array" ref="J6">SUMPRODUCT(($G$8:$G$32&gt;0)*($G$8:$G$32))</f>
        <v>877543369.83581626</v>
      </c>
    </row>
    <row r="7" spans="1:10" ht="27" customHeight="1" x14ac:dyDescent="0.2">
      <c r="B7" s="91"/>
      <c r="C7" s="94"/>
      <c r="E7" s="91"/>
      <c r="F7" s="34"/>
      <c r="G7" s="94"/>
      <c r="I7" s="91"/>
      <c r="J7" s="93"/>
    </row>
    <row r="8" spans="1:10" x14ac:dyDescent="0.2">
      <c r="B8" s="95" t="s">
        <v>14</v>
      </c>
      <c r="C8" s="96">
        <f>'Reliquidación CD RGL'!O9</f>
        <v>2278188.3288396001</v>
      </c>
      <c r="D8" s="97"/>
      <c r="E8" s="95" t="s">
        <v>14</v>
      </c>
      <c r="F8" s="98">
        <v>0</v>
      </c>
      <c r="G8" s="98">
        <f>VLOOKUP(E8,$B$8:$C$42,2,0)+F8</f>
        <v>2278188.3288396001</v>
      </c>
      <c r="H8" s="99"/>
      <c r="J8" s="50"/>
    </row>
    <row r="9" spans="1:10" x14ac:dyDescent="0.2">
      <c r="B9" s="100" t="s">
        <v>15</v>
      </c>
      <c r="C9" s="98">
        <f>'Reliquidación CD RGL'!O10</f>
        <v>25146901.3645542</v>
      </c>
      <c r="D9" s="97"/>
      <c r="E9" s="100" t="s">
        <v>15</v>
      </c>
      <c r="F9" s="98">
        <v>0</v>
      </c>
      <c r="G9" s="98">
        <f>VLOOKUP(E9,$B$8:$C$42,2,0)+F9</f>
        <v>25146901.3645542</v>
      </c>
      <c r="H9" s="99"/>
      <c r="J9" s="50"/>
    </row>
    <row r="10" spans="1:10" x14ac:dyDescent="0.2">
      <c r="B10" s="100" t="s">
        <v>16</v>
      </c>
      <c r="C10" s="98">
        <f>'Reliquidación CD RGL'!O11</f>
        <v>-20090016.427062836</v>
      </c>
      <c r="D10" s="97"/>
      <c r="E10" s="100" t="s">
        <v>16</v>
      </c>
      <c r="F10" s="98">
        <v>-778.21373438151409</v>
      </c>
      <c r="G10" s="98">
        <f>VLOOKUP(E10,$B$8:$C$42,2,0)+F10</f>
        <v>-20090794.640797216</v>
      </c>
      <c r="H10" s="99"/>
      <c r="J10" s="50"/>
    </row>
    <row r="11" spans="1:10" x14ac:dyDescent="0.2">
      <c r="B11" s="100" t="s">
        <v>17</v>
      </c>
      <c r="C11" s="98">
        <f>'Reliquidación CD RGL'!O12</f>
        <v>-2489821.0834457381</v>
      </c>
      <c r="D11" s="97"/>
      <c r="E11" s="100" t="s">
        <v>17</v>
      </c>
      <c r="F11" s="98">
        <v>-25.654152776687798</v>
      </c>
      <c r="G11" s="98">
        <f>VLOOKUP(E11,$B$8:$C$42,2,0)+F11</f>
        <v>-2489846.7375985147</v>
      </c>
      <c r="H11" s="99"/>
      <c r="I11" s="50"/>
      <c r="J11" s="50"/>
    </row>
    <row r="12" spans="1:10" x14ac:dyDescent="0.2">
      <c r="B12" s="100" t="s">
        <v>18</v>
      </c>
      <c r="C12" s="98">
        <f>'Reliquidación CD RGL'!O13</f>
        <v>-122266920.74589889</v>
      </c>
      <c r="D12" s="97"/>
      <c r="E12" s="100" t="s">
        <v>82</v>
      </c>
      <c r="F12" s="98">
        <v>-3045.1562044944135</v>
      </c>
      <c r="G12" s="98">
        <f>C12+C13+C14+C15+C16+C18+C19+C20+C37+C38+C39+F12</f>
        <v>240998295.14353174</v>
      </c>
      <c r="H12" s="99"/>
      <c r="I12" s="50"/>
      <c r="J12" s="50"/>
    </row>
    <row r="13" spans="1:10" x14ac:dyDescent="0.2">
      <c r="B13" s="100" t="s">
        <v>20</v>
      </c>
      <c r="C13" s="98">
        <f>'Reliquidación CD RGL'!O14</f>
        <v>16466559.509687882</v>
      </c>
      <c r="D13" s="97"/>
      <c r="E13" s="100" t="s">
        <v>83</v>
      </c>
      <c r="F13" s="98">
        <v>-11777.396524239952</v>
      </c>
      <c r="G13" s="98">
        <f>C17+F13</f>
        <v>-770978712.61145771</v>
      </c>
      <c r="H13" s="99"/>
      <c r="I13" s="50"/>
      <c r="J13" s="50"/>
    </row>
    <row r="14" spans="1:10" x14ac:dyDescent="0.2">
      <c r="B14" s="100" t="s">
        <v>21</v>
      </c>
      <c r="C14" s="98">
        <f>'Reliquidación CD RGL'!O15</f>
        <v>180791083.69959801</v>
      </c>
      <c r="D14" s="97"/>
      <c r="E14" s="100" t="s">
        <v>29</v>
      </c>
      <c r="F14" s="98">
        <v>0</v>
      </c>
      <c r="G14" s="98">
        <f>VLOOKUP(E14,$B$8:$C$42,2,0)+F14</f>
        <v>2802320.3422332942</v>
      </c>
      <c r="H14" s="99"/>
      <c r="I14" s="50"/>
      <c r="J14" s="50"/>
    </row>
    <row r="15" spans="1:10" x14ac:dyDescent="0.2">
      <c r="B15" s="100" t="s">
        <v>22</v>
      </c>
      <c r="C15" s="98">
        <f>'Reliquidación CD RGL'!O16</f>
        <v>0</v>
      </c>
      <c r="D15" s="97"/>
      <c r="E15" s="100" t="s">
        <v>30</v>
      </c>
      <c r="F15" s="98">
        <v>-227.30260307692086</v>
      </c>
      <c r="G15" s="98">
        <f t="shared" ref="G15:G32" si="0">VLOOKUP(E15,$B$8:$C$42,2,0)+F15</f>
        <v>-24366424.014408752</v>
      </c>
      <c r="H15" s="99"/>
      <c r="I15" s="50"/>
      <c r="J15" s="50"/>
    </row>
    <row r="16" spans="1:10" x14ac:dyDescent="0.2">
      <c r="A16" s="50"/>
      <c r="B16" s="100" t="s">
        <v>23</v>
      </c>
      <c r="C16" s="98">
        <f>'Reliquidación CD RGL'!O17</f>
        <v>0</v>
      </c>
      <c r="D16" s="97"/>
      <c r="E16" s="100" t="s">
        <v>31</v>
      </c>
      <c r="F16" s="98">
        <v>-281.82213723675324</v>
      </c>
      <c r="G16" s="98">
        <f t="shared" si="0"/>
        <v>-15741077.244271955</v>
      </c>
      <c r="H16" s="99"/>
      <c r="I16" s="50"/>
      <c r="J16" s="50"/>
    </row>
    <row r="17" spans="1:10" x14ac:dyDescent="0.2">
      <c r="B17" s="100" t="s">
        <v>24</v>
      </c>
      <c r="C17" s="98">
        <f>'Reliquidación CD RGL'!O18</f>
        <v>-770966935.21493351</v>
      </c>
      <c r="D17" s="97"/>
      <c r="E17" s="100" t="s">
        <v>32</v>
      </c>
      <c r="F17" s="98">
        <v>0</v>
      </c>
      <c r="G17" s="98">
        <f t="shared" si="0"/>
        <v>11820259.716186309</v>
      </c>
      <c r="H17" s="99"/>
      <c r="I17" s="50"/>
      <c r="J17" s="50"/>
    </row>
    <row r="18" spans="1:10" x14ac:dyDescent="0.2">
      <c r="B18" s="100" t="s">
        <v>26</v>
      </c>
      <c r="C18" s="98">
        <f>'Reliquidación CD RGL'!O19</f>
        <v>59021461.644696221</v>
      </c>
      <c r="D18" s="97"/>
      <c r="E18" s="100" t="s">
        <v>33</v>
      </c>
      <c r="F18" s="98">
        <v>-55.224979042739172</v>
      </c>
      <c r="G18" s="98">
        <f t="shared" si="0"/>
        <v>-4266927.9614542248</v>
      </c>
      <c r="H18" s="99"/>
      <c r="I18" s="50"/>
      <c r="J18" s="50"/>
    </row>
    <row r="19" spans="1:10" x14ac:dyDescent="0.2">
      <c r="B19" s="100" t="s">
        <v>27</v>
      </c>
      <c r="C19" s="98">
        <f>'Reliquidación CD RGL'!O20</f>
        <v>-25129738.629118875</v>
      </c>
      <c r="D19" s="97"/>
      <c r="E19" s="100" t="s">
        <v>34</v>
      </c>
      <c r="F19" s="98">
        <v>16604.613287817192</v>
      </c>
      <c r="G19" s="98">
        <f t="shared" si="0"/>
        <v>2635177.8520369753</v>
      </c>
      <c r="H19" s="99"/>
      <c r="I19" s="50"/>
      <c r="J19" s="50"/>
    </row>
    <row r="20" spans="1:10" x14ac:dyDescent="0.2">
      <c r="B20" s="100" t="s">
        <v>28</v>
      </c>
      <c r="C20" s="98">
        <f>'Reliquidación CD RGL'!O21</f>
        <v>0</v>
      </c>
      <c r="D20" s="97"/>
      <c r="E20" s="100" t="s">
        <v>35</v>
      </c>
      <c r="F20" s="98">
        <v>0</v>
      </c>
      <c r="G20" s="98">
        <f t="shared" si="0"/>
        <v>102683899.7636556</v>
      </c>
      <c r="H20" s="99"/>
      <c r="I20" s="50"/>
      <c r="J20" s="50"/>
    </row>
    <row r="21" spans="1:10" x14ac:dyDescent="0.2">
      <c r="B21" s="100" t="s">
        <v>29</v>
      </c>
      <c r="C21" s="98">
        <f>'Reliquidación CD RGL'!O22</f>
        <v>2802320.3422332942</v>
      </c>
      <c r="D21" s="97"/>
      <c r="E21" s="100" t="s">
        <v>36</v>
      </c>
      <c r="F21" s="98">
        <v>0</v>
      </c>
      <c r="G21" s="98">
        <f t="shared" si="0"/>
        <v>-2223149.4212953225</v>
      </c>
      <c r="H21" s="99"/>
      <c r="I21" s="50"/>
      <c r="J21" s="50"/>
    </row>
    <row r="22" spans="1:10" x14ac:dyDescent="0.2">
      <c r="B22" s="100" t="s">
        <v>30</v>
      </c>
      <c r="C22" s="98">
        <f>'Reliquidación CD RGL'!O23</f>
        <v>-24366196.711805675</v>
      </c>
      <c r="D22" s="97"/>
      <c r="E22" s="100" t="s">
        <v>37</v>
      </c>
      <c r="F22" s="98">
        <v>0</v>
      </c>
      <c r="G22" s="98">
        <f t="shared" si="0"/>
        <v>148325655.02751359</v>
      </c>
      <c r="H22" s="99"/>
      <c r="I22" s="50"/>
      <c r="J22" s="50"/>
    </row>
    <row r="23" spans="1:10" x14ac:dyDescent="0.2">
      <c r="B23" s="100" t="s">
        <v>31</v>
      </c>
      <c r="C23" s="98">
        <f>'Reliquidación CD RGL'!O24</f>
        <v>-15740795.422134718</v>
      </c>
      <c r="D23" s="97"/>
      <c r="E23" s="100" t="s">
        <v>38</v>
      </c>
      <c r="F23" s="98">
        <v>-48.614691390609458</v>
      </c>
      <c r="G23" s="98">
        <f t="shared" si="0"/>
        <v>-3425268.3663214594</v>
      </c>
      <c r="H23" s="99"/>
      <c r="I23" s="50"/>
      <c r="J23" s="50"/>
    </row>
    <row r="24" spans="1:10" x14ac:dyDescent="0.2">
      <c r="B24" s="100" t="s">
        <v>32</v>
      </c>
      <c r="C24" s="98">
        <f>'Reliquidación CD RGL'!O25</f>
        <v>11820259.716186309</v>
      </c>
      <c r="D24" s="97"/>
      <c r="E24" s="100" t="s">
        <v>39</v>
      </c>
      <c r="F24" s="98">
        <v>0</v>
      </c>
      <c r="G24" s="98">
        <f t="shared" si="0"/>
        <v>260181803.62076369</v>
      </c>
      <c r="H24" s="99"/>
      <c r="I24" s="50"/>
      <c r="J24" s="50"/>
    </row>
    <row r="25" spans="1:10" x14ac:dyDescent="0.2">
      <c r="B25" s="100" t="s">
        <v>33</v>
      </c>
      <c r="C25" s="98">
        <f>'Reliquidación CD RGL'!O26</f>
        <v>-4266872.7364751818</v>
      </c>
      <c r="D25" s="97"/>
      <c r="E25" s="100" t="s">
        <v>40</v>
      </c>
      <c r="F25" s="98">
        <v>-68.44050917043198</v>
      </c>
      <c r="G25" s="98">
        <f t="shared" si="0"/>
        <v>-5567002.2003651578</v>
      </c>
      <c r="H25" s="99"/>
      <c r="I25" s="50"/>
      <c r="J25" s="50"/>
    </row>
    <row r="26" spans="1:10" x14ac:dyDescent="0.2">
      <c r="B26" s="100" t="s">
        <v>34</v>
      </c>
      <c r="C26" s="98">
        <f>'Reliquidación CD RGL'!O27</f>
        <v>2618573.2387491581</v>
      </c>
      <c r="D26" s="97"/>
      <c r="E26" s="100" t="s">
        <v>41</v>
      </c>
      <c r="F26" s="98">
        <v>-168.79421744744408</v>
      </c>
      <c r="G26" s="98">
        <f t="shared" si="0"/>
        <v>-13750866.326031914</v>
      </c>
      <c r="H26" s="99"/>
      <c r="I26" s="50"/>
      <c r="J26" s="50"/>
    </row>
    <row r="27" spans="1:10" x14ac:dyDescent="0.2">
      <c r="B27" s="100" t="s">
        <v>35</v>
      </c>
      <c r="C27" s="98">
        <f>'Reliquidación CD RGL'!O28</f>
        <v>102683899.7636556</v>
      </c>
      <c r="D27" s="97"/>
      <c r="E27" s="100" t="s">
        <v>42</v>
      </c>
      <c r="F27" s="98">
        <v>0</v>
      </c>
      <c r="G27" s="98">
        <f t="shared" si="0"/>
        <v>64306906.495195493</v>
      </c>
      <c r="H27" s="99"/>
      <c r="I27" s="50"/>
      <c r="J27" s="50"/>
    </row>
    <row r="28" spans="1:10" x14ac:dyDescent="0.2">
      <c r="B28" s="100" t="s">
        <v>36</v>
      </c>
      <c r="C28" s="98">
        <f>'Reliquidación CD RGL'!O29</f>
        <v>-2223149.4212953225</v>
      </c>
      <c r="D28" s="97"/>
      <c r="E28" s="100" t="s">
        <v>43</v>
      </c>
      <c r="F28" s="98">
        <v>-127.99353455972923</v>
      </c>
      <c r="G28" s="98">
        <f t="shared" si="0"/>
        <v>-14643300.311814178</v>
      </c>
      <c r="H28" s="99"/>
      <c r="I28" s="50"/>
      <c r="J28" s="50"/>
    </row>
    <row r="29" spans="1:10" x14ac:dyDescent="0.2">
      <c r="A29" s="50"/>
      <c r="B29" s="100" t="s">
        <v>37</v>
      </c>
      <c r="C29" s="98">
        <f>'Reliquidación CD RGL'!O30</f>
        <v>148325655.02751359</v>
      </c>
      <c r="D29" s="97"/>
      <c r="E29" s="100" t="s">
        <v>45</v>
      </c>
      <c r="F29" s="98">
        <v>0</v>
      </c>
      <c r="G29" s="98">
        <f t="shared" si="0"/>
        <v>14077598.925839029</v>
      </c>
      <c r="H29" s="99"/>
      <c r="I29" s="50"/>
      <c r="J29" s="50"/>
    </row>
    <row r="30" spans="1:10" x14ac:dyDescent="0.2">
      <c r="B30" s="100" t="s">
        <v>38</v>
      </c>
      <c r="C30" s="98">
        <f>'Reliquidación CD RGL'!O31</f>
        <v>-3425219.7516300688</v>
      </c>
      <c r="D30" s="97"/>
      <c r="E30" s="100" t="s">
        <v>49</v>
      </c>
      <c r="F30" s="98">
        <v>0</v>
      </c>
      <c r="G30" s="98">
        <f t="shared" si="0"/>
        <v>0</v>
      </c>
      <c r="H30" s="99"/>
      <c r="I30" s="50"/>
      <c r="J30" s="50"/>
    </row>
    <row r="31" spans="1:10" x14ac:dyDescent="0.2">
      <c r="A31" s="50"/>
      <c r="B31" s="100" t="s">
        <v>39</v>
      </c>
      <c r="C31" s="98">
        <f>'Reliquidación CD RGL'!O32</f>
        <v>260181803.62076369</v>
      </c>
      <c r="D31" s="97"/>
      <c r="E31" s="42" t="s">
        <v>50</v>
      </c>
      <c r="F31" s="98">
        <v>0</v>
      </c>
      <c r="G31" s="98">
        <f t="shared" si="0"/>
        <v>0</v>
      </c>
      <c r="H31" s="99"/>
      <c r="I31" s="50"/>
      <c r="J31" s="50"/>
    </row>
    <row r="32" spans="1:10" x14ac:dyDescent="0.2">
      <c r="A32" s="50"/>
      <c r="B32" s="100" t="s">
        <v>40</v>
      </c>
      <c r="C32" s="98">
        <f>'Reliquidación CD RGL'!O33</f>
        <v>-5566933.7598559875</v>
      </c>
      <c r="D32" s="97"/>
      <c r="E32" s="101" t="s">
        <v>51</v>
      </c>
      <c r="F32" s="98">
        <v>0</v>
      </c>
      <c r="G32" s="98">
        <f t="shared" si="0"/>
        <v>2286363.255466803</v>
      </c>
      <c r="H32" s="97"/>
      <c r="I32" s="50"/>
      <c r="J32" s="50"/>
    </row>
    <row r="33" spans="1:20" x14ac:dyDescent="0.2">
      <c r="A33" s="50"/>
      <c r="B33" s="100" t="s">
        <v>41</v>
      </c>
      <c r="C33" s="98">
        <f>'Reliquidación CD RGL'!O34</f>
        <v>-13750697.531814467</v>
      </c>
      <c r="D33" s="97"/>
      <c r="E33" s="102" t="s">
        <v>66</v>
      </c>
      <c r="F33" s="103">
        <f>SUM(F7:F32)</f>
        <v>-3.4106051316484809E-12</v>
      </c>
      <c r="G33" s="103">
        <f>SUM(G8:G32)</f>
        <v>-1.0896474123001099E-7</v>
      </c>
      <c r="H33" s="104"/>
      <c r="I33" s="50"/>
      <c r="J33" s="50"/>
    </row>
    <row r="34" spans="1:20" x14ac:dyDescent="0.2">
      <c r="B34" s="100" t="s">
        <v>42</v>
      </c>
      <c r="C34" s="98">
        <f>'Reliquidación CD RGL'!O35</f>
        <v>64306906.495195493</v>
      </c>
      <c r="D34" s="97"/>
      <c r="E34" s="105"/>
      <c r="F34" s="105"/>
      <c r="G34" s="106"/>
      <c r="H34" s="104"/>
      <c r="I34" s="50"/>
      <c r="J34" s="50"/>
    </row>
    <row r="35" spans="1:20" x14ac:dyDescent="0.2">
      <c r="A35" s="50"/>
      <c r="B35" s="100" t="s">
        <v>43</v>
      </c>
      <c r="C35" s="98">
        <f>'Reliquidación CD RGL'!O36</f>
        <v>-14643172.318279618</v>
      </c>
      <c r="D35" s="97"/>
      <c r="E35" s="105"/>
      <c r="F35" s="67" t="s">
        <v>96</v>
      </c>
      <c r="G35" s="106"/>
      <c r="H35" s="104"/>
      <c r="I35" s="50"/>
      <c r="J35" s="50"/>
    </row>
    <row r="36" spans="1:20" x14ac:dyDescent="0.2">
      <c r="A36" s="50"/>
      <c r="B36" s="100" t="s">
        <v>45</v>
      </c>
      <c r="C36" s="98">
        <f>'Reliquidación CD RGL'!O37</f>
        <v>14077598.925839029</v>
      </c>
      <c r="D36" s="97"/>
      <c r="E36" s="105"/>
      <c r="F36" s="105"/>
      <c r="G36" s="106"/>
      <c r="H36" s="104"/>
      <c r="I36" s="50"/>
      <c r="J36" s="50"/>
    </row>
    <row r="37" spans="1:20" x14ac:dyDescent="0.2">
      <c r="B37" s="100" t="s">
        <v>46</v>
      </c>
      <c r="C37" s="98">
        <f>'Reliquidación CD RGL'!O38</f>
        <v>-23069002.279273029</v>
      </c>
      <c r="D37" s="97"/>
      <c r="E37" s="105"/>
      <c r="F37" s="105"/>
      <c r="G37" s="106"/>
      <c r="H37" s="104"/>
      <c r="I37" s="50"/>
      <c r="J37" s="50"/>
    </row>
    <row r="38" spans="1:20" x14ac:dyDescent="0.2">
      <c r="B38" s="100" t="s">
        <v>47</v>
      </c>
      <c r="C38" s="98">
        <f>'Reliquidación CD RGL'!O39</f>
        <v>89230853.31280382</v>
      </c>
      <c r="D38" s="97"/>
      <c r="E38" s="105"/>
      <c r="F38" s="105"/>
      <c r="G38" s="106"/>
      <c r="H38" s="104"/>
      <c r="I38" s="50"/>
      <c r="J38" s="50"/>
    </row>
    <row r="39" spans="1:20" x14ac:dyDescent="0.2">
      <c r="B39" s="100" t="s">
        <v>48</v>
      </c>
      <c r="C39" s="98">
        <f>'Reliquidación CD RGL'!O40</f>
        <v>65957043.787241071</v>
      </c>
      <c r="D39" s="97"/>
      <c r="E39" s="105"/>
      <c r="F39" s="105"/>
      <c r="G39" s="106"/>
      <c r="H39" s="104"/>
      <c r="I39" s="50"/>
      <c r="J39" s="50"/>
    </row>
    <row r="40" spans="1:20" x14ac:dyDescent="0.2">
      <c r="B40" s="100" t="s">
        <v>49</v>
      </c>
      <c r="C40" s="98">
        <f>'Reliquidación CD RGL'!O41</f>
        <v>0</v>
      </c>
      <c r="D40" s="97"/>
      <c r="E40" s="105"/>
      <c r="F40" s="105"/>
      <c r="G40" s="106"/>
      <c r="H40" s="104"/>
      <c r="I40" s="50"/>
      <c r="J40" s="50"/>
      <c r="K40" s="50"/>
      <c r="L40" s="50"/>
      <c r="M40" s="50"/>
    </row>
    <row r="41" spans="1:20" x14ac:dyDescent="0.2">
      <c r="B41" s="42" t="s">
        <v>50</v>
      </c>
      <c r="C41" s="98">
        <f>'Reliquidación CD RGL'!O42</f>
        <v>0</v>
      </c>
      <c r="D41" s="97"/>
      <c r="E41" s="105"/>
      <c r="F41" s="105"/>
      <c r="G41" s="106"/>
      <c r="H41" s="104"/>
      <c r="I41" s="50"/>
      <c r="J41" s="50"/>
      <c r="K41" s="50"/>
      <c r="L41" s="50"/>
      <c r="M41" s="50"/>
    </row>
    <row r="42" spans="1:20" x14ac:dyDescent="0.2">
      <c r="B42" s="101" t="s">
        <v>51</v>
      </c>
      <c r="C42" s="107">
        <f>'Reliquidación CD RGL'!O43</f>
        <v>2286363.255466803</v>
      </c>
      <c r="D42" s="97"/>
      <c r="E42" s="105"/>
      <c r="F42" s="105"/>
      <c r="G42" s="106"/>
      <c r="H42" s="104"/>
      <c r="I42" s="50"/>
      <c r="J42" s="50"/>
    </row>
    <row r="43" spans="1:20" x14ac:dyDescent="0.2">
      <c r="B43" s="102" t="s">
        <v>66</v>
      </c>
      <c r="C43" s="103">
        <f>SUM(C8:C42)</f>
        <v>-9.0338289737701416E-8</v>
      </c>
      <c r="D43" s="108"/>
      <c r="E43" s="50"/>
      <c r="F43" s="50"/>
      <c r="H43" s="104"/>
      <c r="I43" s="50"/>
      <c r="J43" s="50"/>
    </row>
    <row r="44" spans="1:20" x14ac:dyDescent="0.2">
      <c r="B44" s="105"/>
      <c r="C44" s="109"/>
      <c r="E44" s="50"/>
      <c r="F44" s="50"/>
      <c r="H44" s="50"/>
      <c r="I44" s="50"/>
    </row>
    <row r="45" spans="1:20" x14ac:dyDescent="0.2">
      <c r="B45" s="105"/>
      <c r="C45" s="109"/>
      <c r="D45" s="109"/>
      <c r="H45" s="50"/>
    </row>
    <row r="46" spans="1:20" x14ac:dyDescent="0.2">
      <c r="B46" s="50"/>
      <c r="C46" s="50"/>
      <c r="D46" s="50"/>
      <c r="E46" s="106"/>
      <c r="F46" s="106"/>
      <c r="G46" s="50"/>
      <c r="H46" s="50"/>
      <c r="I46" s="50"/>
      <c r="J46" s="50"/>
      <c r="K46" s="50"/>
      <c r="L46" s="50"/>
      <c r="M46" s="50"/>
      <c r="N46" s="50"/>
      <c r="O46" s="50"/>
    </row>
    <row r="47" spans="1:20" x14ac:dyDescent="0.2">
      <c r="B47" s="110" t="s">
        <v>85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Q47" s="50"/>
      <c r="R47" s="50"/>
      <c r="S47" s="50"/>
      <c r="T47" s="50"/>
    </row>
    <row r="48" spans="1:20" x14ac:dyDescent="0.2">
      <c r="B48" s="50"/>
      <c r="C48" s="50"/>
      <c r="D48" s="50"/>
      <c r="E48" s="106"/>
      <c r="F48" s="106"/>
      <c r="G48" s="50"/>
      <c r="H48" s="50"/>
      <c r="I48" s="50"/>
      <c r="J48" s="50"/>
      <c r="K48" s="50"/>
      <c r="L48" s="50"/>
      <c r="M48" s="50"/>
      <c r="N48" s="50"/>
      <c r="O48" s="50"/>
      <c r="P48" s="50"/>
    </row>
    <row r="49" spans="2:15" x14ac:dyDescent="0.2">
      <c r="B49" s="111" t="s">
        <v>86</v>
      </c>
      <c r="C49" s="112" t="s">
        <v>87</v>
      </c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4" t="s">
        <v>52</v>
      </c>
    </row>
    <row r="50" spans="2:15" x14ac:dyDescent="0.2">
      <c r="B50" s="115"/>
      <c r="C50" s="48" t="s">
        <v>14</v>
      </c>
      <c r="D50" s="49" t="s">
        <v>15</v>
      </c>
      <c r="E50" s="48" t="s">
        <v>82</v>
      </c>
      <c r="F50" s="49" t="s">
        <v>29</v>
      </c>
      <c r="G50" s="48" t="s">
        <v>32</v>
      </c>
      <c r="H50" s="48" t="s">
        <v>34</v>
      </c>
      <c r="I50" s="48" t="s">
        <v>35</v>
      </c>
      <c r="J50" s="49" t="s">
        <v>37</v>
      </c>
      <c r="K50" s="78" t="s">
        <v>39</v>
      </c>
      <c r="L50" s="49" t="s">
        <v>42</v>
      </c>
      <c r="M50" s="79" t="s">
        <v>45</v>
      </c>
      <c r="N50" s="49" t="s">
        <v>51</v>
      </c>
      <c r="O50" s="116"/>
    </row>
    <row r="51" spans="2:15" ht="12" customHeight="1" x14ac:dyDescent="0.2">
      <c r="B51" s="79" t="s">
        <v>16</v>
      </c>
      <c r="C51" s="117" cm="1">
        <f t="array" ref="C51">(VLOOKUP($B51,$E$8:$G$32,3,0)*(-(VLOOKUP(C$50,$E$8:$G$32,3,0))))/SUMPRODUCT(($G$8:$G$32&gt;0)*($G$8:$G$32))</f>
        <v>52157.665867090815</v>
      </c>
      <c r="D51" s="117" cm="1">
        <f t="array" ref="D51">(VLOOKUP($B51,$E$8:$G$32,3,0)*(-(VLOOKUP(D$50,$E$8:$G$32,3,0))))/SUMPRODUCT(($G$8:$G$32&gt;0)*($G$8:$G$32))</f>
        <v>575722.23611257633</v>
      </c>
      <c r="E51" s="117" cm="1">
        <f t="array" ref="E51">(VLOOKUP($B51,$E$8:$G$32,3,0)*(-(VLOOKUP(E$50,$E$8:$G$32,3,0))))/SUMPRODUCT(($G$8:$G$32&gt;0)*($G$8:$G$32))</f>
        <v>5517501.9525437439</v>
      </c>
      <c r="F51" s="117" cm="1">
        <f t="array" ref="F51">(VLOOKUP($B51,$E$8:$G$32,3,0)*(-(VLOOKUP(F$50,$E$8:$G$32,3,0))))/SUMPRODUCT(($G$8:$G$32&gt;0)*($G$8:$G$32))</f>
        <v>64157.333356722047</v>
      </c>
      <c r="G51" s="117" cm="1">
        <f t="array" ref="G51">(VLOOKUP($B51,$E$8:$G$32,3,0)*(-(VLOOKUP(G$50,$E$8:$G$32,3,0))))/SUMPRODUCT(($G$8:$G$32&gt;0)*($G$8:$G$32))</f>
        <v>270617.29222934938</v>
      </c>
      <c r="H51" s="117" cm="1">
        <f t="array" ref="H51">(VLOOKUP($B51,$E$8:$G$32,3,0)*(-(VLOOKUP(H$50,$E$8:$G$32,3,0))))/SUMPRODUCT(($G$8:$G$32&gt;0)*($G$8:$G$32))</f>
        <v>60330.71285941948</v>
      </c>
      <c r="I51" s="117" cm="1">
        <f t="array" ref="I51">(VLOOKUP($B51,$E$8:$G$32,3,0)*(-(VLOOKUP(I$50,$E$8:$G$32,3,0))))/SUMPRODUCT(($G$8:$G$32&gt;0)*($G$8:$G$32))</f>
        <v>2350882.2628946388</v>
      </c>
      <c r="J51" s="117" cm="1">
        <f t="array" ref="J51">(VLOOKUP($B51,$E$8:$G$32,3,0)*(-(VLOOKUP(J$50,$E$8:$G$32,3,0))))/SUMPRODUCT(($G$8:$G$32&gt;0)*($G$8:$G$32))</f>
        <v>3395821.0813866048</v>
      </c>
      <c r="K51" s="117" cm="1">
        <f t="array" ref="K51">(VLOOKUP($B51,$E$8:$G$32,3,0)*(-(VLOOKUP(K$50,$E$8:$G$32,3,0))))/SUMPRODUCT(($G$8:$G$32&gt;0)*($G$8:$G$32))</f>
        <v>5956696.1195262475</v>
      </c>
      <c r="L51" s="117" cm="1">
        <f t="array" ref="L51">(VLOOKUP($B51,$E$8:$G$32,3,0)*(-(VLOOKUP(L$50,$E$8:$G$32,3,0))))/SUMPRODUCT(($G$8:$G$32&gt;0)*($G$8:$G$32))</f>
        <v>1472265.5275962523</v>
      </c>
      <c r="M51" s="117" cm="1">
        <f t="array" ref="M51">(VLOOKUP($B51,$E$8:$G$32,3,0)*(-(VLOOKUP(M$50,$E$8:$G$32,3,0))))/SUMPRODUCT(($G$8:$G$32&gt;0)*($G$8:$G$32))</f>
        <v>322297.63083670207</v>
      </c>
      <c r="N51" s="117" cm="1">
        <f t="array" ref="N51">(VLOOKUP($B51,$E$8:$G$32,3,0)*(-(VLOOKUP(N$50,$E$8:$G$32,3,0))))/SUMPRODUCT(($G$8:$G$32&gt;0)*($G$8:$G$32))</f>
        <v>52344.825587870713</v>
      </c>
      <c r="O51" s="118">
        <f t="shared" ref="O51:O61" si="1">SUM(C51:N51)</f>
        <v>20090794.640797224</v>
      </c>
    </row>
    <row r="52" spans="2:15" x14ac:dyDescent="0.2">
      <c r="B52" s="78" t="s">
        <v>17</v>
      </c>
      <c r="C52" s="117" cm="1">
        <f t="array" ref="C52">(VLOOKUP($B52,$E$8:$G$32,3,0)*(-(VLOOKUP(C$50,$E$8:$G$32,3,0))))/SUMPRODUCT(($G$8:$G$32&gt;0)*($G$8:$G$32))</f>
        <v>6463.8854023335107</v>
      </c>
      <c r="D52" s="117" cm="1">
        <f t="array" ref="D52">(VLOOKUP($B52,$E$8:$G$32,3,0)*(-(VLOOKUP(D$50,$E$8:$G$32,3,0))))/SUMPRODUCT(($G$8:$G$32&gt;0)*($G$8:$G$32))</f>
        <v>71349.100768616452</v>
      </c>
      <c r="E52" s="117" cm="1">
        <f t="array" ref="E52">(VLOOKUP($B52,$E$8:$G$32,3,0)*(-(VLOOKUP(E$50,$E$8:$G$32,3,0))))/SUMPRODUCT(($G$8:$G$32&gt;0)*($G$8:$G$32))</f>
        <v>683782.52238654881</v>
      </c>
      <c r="F52" s="117" cm="1">
        <f t="array" ref="F52">(VLOOKUP($B52,$E$8:$G$32,3,0)*(-(VLOOKUP(F$50,$E$8:$G$32,3,0))))/SUMPRODUCT(($G$8:$G$32&gt;0)*($G$8:$G$32))</f>
        <v>7951.0009438290735</v>
      </c>
      <c r="G52" s="117" cm="1">
        <f t="array" ref="G52">(VLOOKUP($B52,$E$8:$G$32,3,0)*(-(VLOOKUP(G$50,$E$8:$G$32,3,0))))/SUMPRODUCT(($G$8:$G$32&gt;0)*($G$8:$G$32))</f>
        <v>33537.527720618462</v>
      </c>
      <c r="H52" s="117" cm="1">
        <f t="array" ref="H52">(VLOOKUP($B52,$E$8:$G$32,3,0)*(-(VLOOKUP(H$50,$E$8:$G$32,3,0))))/SUMPRODUCT(($G$8:$G$32&gt;0)*($G$8:$G$32))</f>
        <v>7476.7689021611413</v>
      </c>
      <c r="I52" s="117" cm="1">
        <f t="array" ref="I52">(VLOOKUP($B52,$E$8:$G$32,3,0)*(-(VLOOKUP(I$50,$E$8:$G$32,3,0))))/SUMPRODUCT(($G$8:$G$32&gt;0)*($G$8:$G$32))</f>
        <v>291344.20202874392</v>
      </c>
      <c r="J52" s="117" cm="1">
        <f t="array" ref="J52">(VLOOKUP($B52,$E$8:$G$32,3,0)*(-(VLOOKUP(J$50,$E$8:$G$32,3,0))))/SUMPRODUCT(($G$8:$G$32&gt;0)*($G$8:$G$32))</f>
        <v>420843.18674929201</v>
      </c>
      <c r="K52" s="117" cm="1">
        <f t="array" ref="K52">(VLOOKUP($B52,$E$8:$G$32,3,0)*(-(VLOOKUP(K$50,$E$8:$G$32,3,0))))/SUMPRODUCT(($G$8:$G$32&gt;0)*($G$8:$G$32))</f>
        <v>738211.73653087742</v>
      </c>
      <c r="L52" s="117" cm="1">
        <f t="array" ref="L52">(VLOOKUP($B52,$E$8:$G$32,3,0)*(-(VLOOKUP(L$50,$E$8:$G$32,3,0))))/SUMPRODUCT(($G$8:$G$32&gt;0)*($G$8:$G$32))</f>
        <v>182457.46802471057</v>
      </c>
      <c r="M52" s="117" cm="1">
        <f t="array" ref="M52">(VLOOKUP($B52,$E$8:$G$32,3,0)*(-(VLOOKUP(M$50,$E$8:$G$32,3,0))))/SUMPRODUCT(($G$8:$G$32&gt;0)*($G$8:$G$32))</f>
        <v>39942.258084952009</v>
      </c>
      <c r="N52" s="117" cm="1">
        <f t="array" ref="N52">(VLOOKUP($B52,$E$8:$G$32,3,0)*(-(VLOOKUP(N$50,$E$8:$G$32,3,0))))/SUMPRODUCT(($G$8:$G$32&gt;0)*($G$8:$G$32))</f>
        <v>6487.0800558315559</v>
      </c>
      <c r="O52" s="118">
        <f t="shared" si="1"/>
        <v>2489846.7375985151</v>
      </c>
    </row>
    <row r="53" spans="2:15" x14ac:dyDescent="0.2">
      <c r="B53" s="78" t="s">
        <v>83</v>
      </c>
      <c r="C53" s="117" cm="1">
        <f t="array" ref="C53">(VLOOKUP($B53,$E$8:$G$32,3,0)*(-(VLOOKUP(C$50,$E$8:$G$32,3,0))))/SUMPRODUCT(($G$8:$G$32&gt;0)*($G$8:$G$32))</f>
        <v>2001536.0667402945</v>
      </c>
      <c r="D53" s="117" cm="1">
        <f t="array" ref="D53">(VLOOKUP($B53,$E$8:$G$32,3,0)*(-(VLOOKUP(D$50,$E$8:$G$32,3,0))))/SUMPRODUCT(($G$8:$G$32&gt;0)*($G$8:$G$32))</f>
        <v>22093182.293473028</v>
      </c>
      <c r="E53" s="117" cm="1">
        <f t="array" ref="E53">(VLOOKUP($B53,$E$8:$G$32,3,0)*(-(VLOOKUP(E$50,$E$8:$G$32,3,0))))/SUMPRODUCT(($G$8:$G$32&gt;0)*($G$8:$G$32))</f>
        <v>211732618.25917423</v>
      </c>
      <c r="F53" s="117" cm="1">
        <f t="array" ref="F53">(VLOOKUP($B53,$E$8:$G$32,3,0)*(-(VLOOKUP(F$50,$E$8:$G$32,3,0))))/SUMPRODUCT(($G$8:$G$32&gt;0)*($G$8:$G$32))</f>
        <v>2462020.0027084113</v>
      </c>
      <c r="G53" s="117" cm="1">
        <f t="array" ref="G53">(VLOOKUP($B53,$E$8:$G$32,3,0)*(-(VLOOKUP(G$50,$E$8:$G$32,3,0))))/SUMPRODUCT(($G$8:$G$32&gt;0)*($G$8:$G$32))</f>
        <v>10384864.078482436</v>
      </c>
      <c r="H53" s="117" cm="1">
        <f t="array" ref="H53">(VLOOKUP($B53,$E$8:$G$32,3,0)*(-(VLOOKUP(H$50,$E$8:$G$32,3,0))))/SUMPRODUCT(($G$8:$G$32&gt;0)*($G$8:$G$32))</f>
        <v>2315174.4947327306</v>
      </c>
      <c r="I53" s="117" cm="1">
        <f t="array" ref="I53">(VLOOKUP($B53,$E$8:$G$32,3,0)*(-(VLOOKUP(I$50,$E$8:$G$32,3,0))))/SUMPRODUCT(($G$8:$G$32&gt;0)*($G$8:$G$32))</f>
        <v>90214459.554880932</v>
      </c>
      <c r="J53" s="117" cm="1">
        <f t="array" ref="J53">(VLOOKUP($B53,$E$8:$G$32,3,0)*(-(VLOOKUP(J$50,$E$8:$G$32,3,0))))/SUMPRODUCT(($G$8:$G$32&gt;0)*($G$8:$G$32))</f>
        <v>130313699.00471017</v>
      </c>
      <c r="K53" s="117" cm="1">
        <f t="array" ref="K53">(VLOOKUP($B53,$E$8:$G$32,3,0)*(-(VLOOKUP(K$50,$E$8:$G$32,3,0))))/SUMPRODUCT(($G$8:$G$32&gt;0)*($G$8:$G$32))</f>
        <v>228586573.49094173</v>
      </c>
      <c r="L53" s="117" cm="1">
        <f t="array" ref="L53">(VLOOKUP($B53,$E$8:$G$32,3,0)*(-(VLOOKUP(L$50,$E$8:$G$32,3,0))))/SUMPRODUCT(($G$8:$G$32&gt;0)*($G$8:$G$32))</f>
        <v>56497784.25306458</v>
      </c>
      <c r="M53" s="117" cm="1">
        <f t="array" ref="M53">(VLOOKUP($B53,$E$8:$G$32,3,0)*(-(VLOOKUP(M$50,$E$8:$G$32,3,0))))/SUMPRODUCT(($G$8:$G$32&gt;0)*($G$8:$G$32))</f>
        <v>12368082.843055896</v>
      </c>
      <c r="N53" s="117" cm="1">
        <f t="array" ref="N53">(VLOOKUP($B53,$E$8:$G$32,3,0)*(-(VLOOKUP(N$50,$E$8:$G$32,3,0))))/SUMPRODUCT(($G$8:$G$32&gt;0)*($G$8:$G$32))</f>
        <v>2008718.2694933198</v>
      </c>
      <c r="O53" s="118">
        <f t="shared" si="1"/>
        <v>770978712.61145782</v>
      </c>
    </row>
    <row r="54" spans="2:15" x14ac:dyDescent="0.2">
      <c r="B54" s="78" t="s">
        <v>30</v>
      </c>
      <c r="C54" s="117" cm="1">
        <f t="array" ref="C54">(VLOOKUP($B54,$E$8:$G$32,3,0)*(-(VLOOKUP(C$50,$E$8:$G$32,3,0))))/SUMPRODUCT(($G$8:$G$32&gt;0)*($G$8:$G$32))</f>
        <v>63257.617473161299</v>
      </c>
      <c r="D54" s="117" cm="1">
        <f t="array" ref="D54">(VLOOKUP($B54,$E$8:$G$32,3,0)*(-(VLOOKUP(D$50,$E$8:$G$32,3,0))))/SUMPRODUCT(($G$8:$G$32&gt;0)*($G$8:$G$32))</f>
        <v>698244.76186502574</v>
      </c>
      <c r="E54" s="117" cm="1">
        <f t="array" ref="E54">(VLOOKUP($B54,$E$8:$G$32,3,0)*(-(VLOOKUP(E$50,$E$8:$G$32,3,0))))/SUMPRODUCT(($G$8:$G$32&gt;0)*($G$8:$G$32))</f>
        <v>6691711.0288413325</v>
      </c>
      <c r="F54" s="117" cm="1">
        <f t="array" ref="F54">(VLOOKUP($B54,$E$8:$G$32,3,0)*(-(VLOOKUP(F$50,$E$8:$G$32,3,0))))/SUMPRODUCT(($G$8:$G$32&gt;0)*($G$8:$G$32))</f>
        <v>77810.998328019719</v>
      </c>
      <c r="G54" s="117" cm="1">
        <f t="array" ref="G54">(VLOOKUP($B54,$E$8:$G$32,3,0)*(-(VLOOKUP(G$50,$E$8:$G$32,3,0))))/SUMPRODUCT(($G$8:$G$32&gt;0)*($G$8:$G$32))</f>
        <v>328208.80437956814</v>
      </c>
      <c r="H54" s="117" cm="1">
        <f t="array" ref="H54">(VLOOKUP($B54,$E$8:$G$32,3,0)*(-(VLOOKUP(H$50,$E$8:$G$32,3,0))))/SUMPRODUCT(($G$8:$G$32&gt;0)*($G$8:$G$32))</f>
        <v>73170.014273055422</v>
      </c>
      <c r="I54" s="117" cm="1">
        <f t="array" ref="I54">(VLOOKUP($B54,$E$8:$G$32,3,0)*(-(VLOOKUP(I$50,$E$8:$G$32,3,0))))/SUMPRODUCT(($G$8:$G$32&gt;0)*($G$8:$G$32))</f>
        <v>2851186.080481011</v>
      </c>
      <c r="J54" s="117" cm="1">
        <f t="array" ref="J54">(VLOOKUP($B54,$E$8:$G$32,3,0)*(-(VLOOKUP(J$50,$E$8:$G$32,3,0))))/SUMPRODUCT(($G$8:$G$32&gt;0)*($G$8:$G$32))</f>
        <v>4118503.9131359477</v>
      </c>
      <c r="K54" s="117" cm="1">
        <f t="array" ref="K54">(VLOOKUP($B54,$E$8:$G$32,3,0)*(-(VLOOKUP(K$50,$E$8:$G$32,3,0))))/SUMPRODUCT(($G$8:$G$32&gt;0)*($G$8:$G$32))</f>
        <v>7224372.4535726169</v>
      </c>
      <c r="L54" s="117" cm="1">
        <f t="array" ref="L54">(VLOOKUP($B54,$E$8:$G$32,3,0)*(-(VLOOKUP(L$50,$E$8:$G$32,3,0))))/SUMPRODUCT(($G$8:$G$32&gt;0)*($G$8:$G$32))</f>
        <v>1785586.2223767173</v>
      </c>
      <c r="M54" s="117" cm="1">
        <f t="array" ref="M54">(VLOOKUP($B54,$E$8:$G$32,3,0)*(-(VLOOKUP(M$50,$E$8:$G$32,3,0))))/SUMPRODUCT(($G$8:$G$32&gt;0)*($G$8:$G$32))</f>
        <v>390887.51202798827</v>
      </c>
      <c r="N54" s="117" cm="1">
        <f t="array" ref="N54">(VLOOKUP($B54,$E$8:$G$32,3,0)*(-(VLOOKUP(N$50,$E$8:$G$32,3,0))))/SUMPRODUCT(($G$8:$G$32&gt;0)*($G$8:$G$32))</f>
        <v>63484.607654310261</v>
      </c>
      <c r="O54" s="118">
        <f t="shared" si="1"/>
        <v>24366424.014408756</v>
      </c>
    </row>
    <row r="55" spans="2:15" x14ac:dyDescent="0.2">
      <c r="B55" s="78" t="s">
        <v>31</v>
      </c>
      <c r="C55" s="117" cm="1">
        <f t="array" ref="C55">(VLOOKUP($B55,$E$8:$G$32,3,0)*(-(VLOOKUP(C$50,$E$8:$G$32,3,0))))/SUMPRODUCT(($G$8:$G$32&gt;0)*($G$8:$G$32))</f>
        <v>40865.374514734714</v>
      </c>
      <c r="D55" s="117" cm="1">
        <f t="array" ref="D55">(VLOOKUP($B55,$E$8:$G$32,3,0)*(-(VLOOKUP(D$50,$E$8:$G$32,3,0))))/SUMPRODUCT(($G$8:$G$32&gt;0)*($G$8:$G$32))</f>
        <v>451076.64240867656</v>
      </c>
      <c r="E55" s="117" cm="1">
        <f t="array" ref="E55">(VLOOKUP($B55,$E$8:$G$32,3,0)*(-(VLOOKUP(E$50,$E$8:$G$32,3,0))))/SUMPRODUCT(($G$8:$G$32&gt;0)*($G$8:$G$32))</f>
        <v>4322946.204131132</v>
      </c>
      <c r="F55" s="117" cm="1">
        <f t="array" ref="F55">(VLOOKUP($B55,$E$8:$G$32,3,0)*(-(VLOOKUP(F$50,$E$8:$G$32,3,0))))/SUMPRODUCT(($G$8:$G$32&gt;0)*($G$8:$G$32))</f>
        <v>50267.077943443343</v>
      </c>
      <c r="G55" s="117" cm="1">
        <f t="array" ref="G55">(VLOOKUP($B55,$E$8:$G$32,3,0)*(-(VLOOKUP(G$50,$E$8:$G$32,3,0))))/SUMPRODUCT(($G$8:$G$32&gt;0)*($G$8:$G$32))</f>
        <v>212027.83547285679</v>
      </c>
      <c r="H55" s="117" cm="1">
        <f t="array" ref="H55">(VLOOKUP($B55,$E$8:$G$32,3,0)*(-(VLOOKUP(H$50,$E$8:$G$32,3,0))))/SUMPRODUCT(($G$8:$G$32&gt;0)*($G$8:$G$32))</f>
        <v>47268.932279745299</v>
      </c>
      <c r="I55" s="117" cm="1">
        <f t="array" ref="I55">(VLOOKUP($B55,$E$8:$G$32,3,0)*(-(VLOOKUP(I$50,$E$8:$G$32,3,0))))/SUMPRODUCT(($G$8:$G$32&gt;0)*($G$8:$G$32))</f>
        <v>1841909.1904542486</v>
      </c>
      <c r="J55" s="117" cm="1">
        <f t="array" ref="J55">(VLOOKUP($B55,$E$8:$G$32,3,0)*(-(VLOOKUP(J$50,$E$8:$G$32,3,0))))/SUMPRODUCT(($G$8:$G$32&gt;0)*($G$8:$G$32))</f>
        <v>2660615.6155360802</v>
      </c>
      <c r="K55" s="117" cm="1">
        <f t="array" ref="K55">(VLOOKUP($B55,$E$8:$G$32,3,0)*(-(VLOOKUP(K$50,$E$8:$G$32,3,0))))/SUMPRODUCT(($G$8:$G$32&gt;0)*($G$8:$G$32))</f>
        <v>4667053.5145342071</v>
      </c>
      <c r="L55" s="117" cm="1">
        <f t="array" ref="L55">(VLOOKUP($B55,$E$8:$G$32,3,0)*(-(VLOOKUP(L$50,$E$8:$G$32,3,0))))/SUMPRODUCT(($G$8:$G$32&gt;0)*($G$8:$G$32))</f>
        <v>1153515.6178895575</v>
      </c>
      <c r="M55" s="117" cm="1">
        <f t="array" ref="M55">(VLOOKUP($B55,$E$8:$G$32,3,0)*(-(VLOOKUP(M$50,$E$8:$G$32,3,0))))/SUMPRODUCT(($G$8:$G$32&gt;0)*($G$8:$G$32))</f>
        <v>252519.22551357388</v>
      </c>
      <c r="N55" s="117" cm="1">
        <f t="array" ref="N55">(VLOOKUP($B55,$E$8:$G$32,3,0)*(-(VLOOKUP(N$50,$E$8:$G$32,3,0))))/SUMPRODUCT(($G$8:$G$32&gt;0)*($G$8:$G$32))</f>
        <v>41012.013593700271</v>
      </c>
      <c r="O55" s="118">
        <f t="shared" si="1"/>
        <v>15741077.244271955</v>
      </c>
    </row>
    <row r="56" spans="2:15" x14ac:dyDescent="0.2">
      <c r="B56" s="78" t="s">
        <v>33</v>
      </c>
      <c r="C56" s="117" cm="1">
        <f t="array" ref="C56">(VLOOKUP($B56,$E$8:$G$32,3,0)*(-(VLOOKUP(C$50,$E$8:$G$32,3,0))))/SUMPRODUCT(($G$8:$G$32&gt;0)*($G$8:$G$32))</f>
        <v>11077.361889934949</v>
      </c>
      <c r="D56" s="117" cm="1">
        <f t="array" ref="D56">(VLOOKUP($B56,$E$8:$G$32,3,0)*(-(VLOOKUP(D$50,$E$8:$G$32,3,0))))/SUMPRODUCT(($G$8:$G$32&gt;0)*($G$8:$G$32))</f>
        <v>122273.17790164945</v>
      </c>
      <c r="E56" s="117" cm="1">
        <f t="array" ref="E56">(VLOOKUP($B56,$E$8:$G$32,3,0)*(-(VLOOKUP(E$50,$E$8:$G$32,3,0))))/SUMPRODUCT(($G$8:$G$32&gt;0)*($G$8:$G$32))</f>
        <v>1171819.421760462</v>
      </c>
      <c r="F56" s="117" cm="1">
        <f t="array" ref="F56">(VLOOKUP($B56,$E$8:$G$32,3,0)*(-(VLOOKUP(F$50,$E$8:$G$32,3,0))))/SUMPRODUCT(($G$8:$G$32&gt;0)*($G$8:$G$32))</f>
        <v>13625.878146016148</v>
      </c>
      <c r="G56" s="117" cm="1">
        <f t="array" ref="G56">(VLOOKUP($B56,$E$8:$G$32,3,0)*(-(VLOOKUP(G$50,$E$8:$G$32,3,0))))/SUMPRODUCT(($G$8:$G$32&gt;0)*($G$8:$G$32))</f>
        <v>57474.306602171346</v>
      </c>
      <c r="H56" s="117" cm="1">
        <f t="array" ref="H56">(VLOOKUP($B56,$E$8:$G$32,3,0)*(-(VLOOKUP(H$50,$E$8:$G$32,3,0))))/SUMPRODUCT(($G$8:$G$32&gt;0)*($G$8:$G$32))</f>
        <v>12813.171914642997</v>
      </c>
      <c r="I56" s="117" cm="1">
        <f t="array" ref="I56">(VLOOKUP($B56,$E$8:$G$32,3,0)*(-(VLOOKUP(I$50,$E$8:$G$32,3,0))))/SUMPRODUCT(($G$8:$G$32&gt;0)*($G$8:$G$32))</f>
        <v>499285.64006435318</v>
      </c>
      <c r="J56" s="117" cm="1">
        <f t="array" ref="J56">(VLOOKUP($B56,$E$8:$G$32,3,0)*(-(VLOOKUP(J$50,$E$8:$G$32,3,0))))/SUMPRODUCT(($G$8:$G$32&gt;0)*($G$8:$G$32))</f>
        <v>721212.08659615589</v>
      </c>
      <c r="K56" s="117" cm="1">
        <f t="array" ref="K56">(VLOOKUP($B56,$E$8:$G$32,3,0)*(-(VLOOKUP(K$50,$E$8:$G$32,3,0))))/SUMPRODUCT(($G$8:$G$32&gt;0)*($G$8:$G$32))</f>
        <v>1265096.4625699774</v>
      </c>
      <c r="L56" s="117" cm="1">
        <f t="array" ref="L56">(VLOOKUP($B56,$E$8:$G$32,3,0)*(-(VLOOKUP(L$50,$E$8:$G$32,3,0))))/SUMPRODUCT(($G$8:$G$32&gt;0)*($G$8:$G$32))</f>
        <v>312683.05005860783</v>
      </c>
      <c r="M56" s="117" cm="1">
        <f t="array" ref="M56">(VLOOKUP($B56,$E$8:$G$32,3,0)*(-(VLOOKUP(M$50,$E$8:$G$32,3,0))))/SUMPRODUCT(($G$8:$G$32&gt;0)*($G$8:$G$32))</f>
        <v>68450.292659653889</v>
      </c>
      <c r="N56" s="117" cm="1">
        <f t="array" ref="N56">(VLOOKUP($B56,$E$8:$G$32,3,0)*(-(VLOOKUP(N$50,$E$8:$G$32,3,0))))/SUMPRODUCT(($G$8:$G$32&gt;0)*($G$8:$G$32))</f>
        <v>11117.111290599871</v>
      </c>
      <c r="O56" s="118">
        <f t="shared" si="1"/>
        <v>4266927.9614542257</v>
      </c>
    </row>
    <row r="57" spans="2:15" x14ac:dyDescent="0.2">
      <c r="B57" s="78" t="s">
        <v>36</v>
      </c>
      <c r="C57" s="117" cm="1">
        <f t="array" ref="C57">(VLOOKUP($B57,$E$8:$G$32,3,0)*(-(VLOOKUP(C$50,$E$8:$G$32,3,0))))/SUMPRODUCT(($G$8:$G$32&gt;0)*($G$8:$G$32))</f>
        <v>5771.5131114364222</v>
      </c>
      <c r="D57" s="117" cm="1">
        <f t="array" ref="D57">(VLOOKUP($B57,$E$8:$G$32,3,0)*(-(VLOOKUP(D$50,$E$8:$G$32,3,0))))/SUMPRODUCT(($G$8:$G$32&gt;0)*($G$8:$G$32))</f>
        <v>63706.616832440792</v>
      </c>
      <c r="E57" s="117" cm="1">
        <f t="array" ref="E57">(VLOOKUP($B57,$E$8:$G$32,3,0)*(-(VLOOKUP(E$50,$E$8:$G$32,3,0))))/SUMPRODUCT(($G$8:$G$32&gt;0)*($G$8:$G$32))</f>
        <v>610539.87620206468</v>
      </c>
      <c r="F57" s="117" cm="1">
        <f t="array" ref="F57">(VLOOKUP($B57,$E$8:$G$32,3,0)*(-(VLOOKUP(F$50,$E$8:$G$32,3,0))))/SUMPRODUCT(($G$8:$G$32&gt;0)*($G$8:$G$32))</f>
        <v>7099.3378347621192</v>
      </c>
      <c r="G57" s="117" cm="1">
        <f t="array" ref="G57">(VLOOKUP($B57,$E$8:$G$32,3,0)*(-(VLOOKUP(G$50,$E$8:$G$32,3,0))))/SUMPRODUCT(($G$8:$G$32&gt;0)*($G$8:$G$32))</f>
        <v>29945.190688998679</v>
      </c>
      <c r="H57" s="117" cm="1">
        <f t="array" ref="H57">(VLOOKUP($B57,$E$8:$G$32,3,0)*(-(VLOOKUP(H$50,$E$8:$G$32,3,0))))/SUMPRODUCT(($G$8:$G$32&gt;0)*($G$8:$G$32))</f>
        <v>6675.9026597880029</v>
      </c>
      <c r="I57" s="117" cm="1">
        <f t="array" ref="I57">(VLOOKUP($B57,$E$8:$G$32,3,0)*(-(VLOOKUP(I$50,$E$8:$G$32,3,0))))/SUMPRODUCT(($G$8:$G$32&gt;0)*($G$8:$G$32))</f>
        <v>260137.17405058639</v>
      </c>
      <c r="J57" s="117" cm="1">
        <f t="array" ref="J57">(VLOOKUP($B57,$E$8:$G$32,3,0)*(-(VLOOKUP(J$50,$E$8:$G$32,3,0))))/SUMPRODUCT(($G$8:$G$32&gt;0)*($G$8:$G$32))</f>
        <v>375765.01113484683</v>
      </c>
      <c r="K57" s="117" cm="1">
        <f t="array" ref="K57">(VLOOKUP($B57,$E$8:$G$32,3,0)*(-(VLOOKUP(K$50,$E$8:$G$32,3,0))))/SUMPRODUCT(($G$8:$G$32&gt;0)*($G$8:$G$32))</f>
        <v>659138.96228205098</v>
      </c>
      <c r="L57" s="117" cm="1">
        <f t="array" ref="L57">(VLOOKUP($B57,$E$8:$G$32,3,0)*(-(VLOOKUP(L$50,$E$8:$G$32,3,0))))/SUMPRODUCT(($G$8:$G$32&gt;0)*($G$8:$G$32))</f>
        <v>162913.72811218898</v>
      </c>
      <c r="M57" s="117" cm="1">
        <f t="array" ref="M57">(VLOOKUP($B57,$E$8:$G$32,3,0)*(-(VLOOKUP(M$50,$E$8:$G$32,3,0))))/SUMPRODUCT(($G$8:$G$32&gt;0)*($G$8:$G$32))</f>
        <v>35663.885092154618</v>
      </c>
      <c r="N57" s="117" cm="1">
        <f t="array" ref="N57">(VLOOKUP($B57,$E$8:$G$32,3,0)*(-(VLOOKUP(N$50,$E$8:$G$32,3,0))))/SUMPRODUCT(($G$8:$G$32&gt;0)*($G$8:$G$32))</f>
        <v>5792.2232940041486</v>
      </c>
      <c r="O57" s="118">
        <f t="shared" si="1"/>
        <v>2223149.4212953229</v>
      </c>
    </row>
    <row r="58" spans="2:15" x14ac:dyDescent="0.2">
      <c r="B58" s="78" t="s">
        <v>38</v>
      </c>
      <c r="C58" s="117" cm="1">
        <f t="array" ref="C58">(VLOOKUP($B58,$E$8:$G$32,3,0)*(-(VLOOKUP(C$50,$E$8:$G$32,3,0))))/SUMPRODUCT(($G$8:$G$32&gt;0)*($G$8:$G$32))</f>
        <v>8892.3313462638434</v>
      </c>
      <c r="D58" s="117" cm="1">
        <f t="array" ref="D58">(VLOOKUP($B58,$E$8:$G$32,3,0)*(-(VLOOKUP(D$50,$E$8:$G$32,3,0))))/SUMPRODUCT(($G$8:$G$32&gt;0)*($G$8:$G$32))</f>
        <v>98154.562743866234</v>
      </c>
      <c r="E58" s="117" cm="1">
        <f t="array" ref="E58">(VLOOKUP($B58,$E$8:$G$32,3,0)*(-(VLOOKUP(E$50,$E$8:$G$32,3,0))))/SUMPRODUCT(($G$8:$G$32&gt;0)*($G$8:$G$32))</f>
        <v>940675.82875930739</v>
      </c>
      <c r="F58" s="117" cm="1">
        <f t="array" ref="F58">(VLOOKUP($B58,$E$8:$G$32,3,0)*(-(VLOOKUP(F$50,$E$8:$G$32,3,0))))/SUMPRODUCT(($G$8:$G$32&gt;0)*($G$8:$G$32))</f>
        <v>10938.147959965436</v>
      </c>
      <c r="G58" s="117" cm="1">
        <f t="array" ref="G58">(VLOOKUP($B58,$E$8:$G$32,3,0)*(-(VLOOKUP(G$50,$E$8:$G$32,3,0))))/SUMPRODUCT(($G$8:$G$32&gt;0)*($G$8:$G$32))</f>
        <v>46137.391129890078</v>
      </c>
      <c r="H58" s="117" cm="1">
        <f t="array" ref="H58">(VLOOKUP($B58,$E$8:$G$32,3,0)*(-(VLOOKUP(H$50,$E$8:$G$32,3,0))))/SUMPRODUCT(($G$8:$G$32&gt;0)*($G$8:$G$32))</f>
        <v>10285.749566886861</v>
      </c>
      <c r="I58" s="117" cm="1">
        <f t="array" ref="I58">(VLOOKUP($B58,$E$8:$G$32,3,0)*(-(VLOOKUP(I$50,$E$8:$G$32,3,0))))/SUMPRODUCT(($G$8:$G$32&gt;0)*($G$8:$G$32))</f>
        <v>400800.6050536033</v>
      </c>
      <c r="J58" s="117" cm="1">
        <f t="array" ref="J58">(VLOOKUP($B58,$E$8:$G$32,3,0)*(-(VLOOKUP(J$50,$E$8:$G$32,3,0))))/SUMPRODUCT(($G$8:$G$32&gt;0)*($G$8:$G$32))</f>
        <v>578951.64107354183</v>
      </c>
      <c r="K58" s="117" cm="1">
        <f t="array" ref="K58">(VLOOKUP($B58,$E$8:$G$32,3,0)*(-(VLOOKUP(K$50,$E$8:$G$32,3,0))))/SUMPRODUCT(($G$8:$G$32&gt;0)*($G$8:$G$32))</f>
        <v>1015553.7971888516</v>
      </c>
      <c r="L58" s="117" cm="1">
        <f t="array" ref="L58">(VLOOKUP($B58,$E$8:$G$32,3,0)*(-(VLOOKUP(L$50,$E$8:$G$32,3,0))))/SUMPRODUCT(($G$8:$G$32&gt;0)*($G$8:$G$32))</f>
        <v>251005.72817864965</v>
      </c>
      <c r="M58" s="117" cm="1">
        <f t="array" ref="M58">(VLOOKUP($B58,$E$8:$G$32,3,0)*(-(VLOOKUP(M$50,$E$8:$G$32,3,0))))/SUMPRODUCT(($G$8:$G$32&gt;0)*($G$8:$G$32))</f>
        <v>54948.34321802124</v>
      </c>
      <c r="N58" s="117" cm="1">
        <f t="array" ref="N58">(VLOOKUP($B58,$E$8:$G$32,3,0)*(-(VLOOKUP(N$50,$E$8:$G$32,3,0))))/SUMPRODUCT(($G$8:$G$32&gt;0)*($G$8:$G$32))</f>
        <v>8924.2401026121424</v>
      </c>
      <c r="O58" s="118">
        <f t="shared" si="1"/>
        <v>3425268.3663214589</v>
      </c>
    </row>
    <row r="59" spans="2:15" x14ac:dyDescent="0.2">
      <c r="B59" s="78" t="s">
        <v>40</v>
      </c>
      <c r="C59" s="117" cm="1">
        <f t="array" ref="C59">(VLOOKUP($B59,$E$8:$G$32,3,0)*(-(VLOOKUP(C$50,$E$8:$G$32,3,0))))/SUMPRODUCT(($G$8:$G$32&gt;0)*($G$8:$G$32))</f>
        <v>14452.481638450687</v>
      </c>
      <c r="D59" s="117" cm="1">
        <f t="array" ref="D59">(VLOOKUP($B59,$E$8:$G$32,3,0)*(-(VLOOKUP(D$50,$E$8:$G$32,3,0))))/SUMPRODUCT(($G$8:$G$32&gt;0)*($G$8:$G$32))</f>
        <v>159528.13278622428</v>
      </c>
      <c r="E59" s="117" cm="1">
        <f t="array" ref="E59">(VLOOKUP($B59,$E$8:$G$32,3,0)*(-(VLOOKUP(E$50,$E$8:$G$32,3,0))))/SUMPRODUCT(($G$8:$G$32&gt;0)*($G$8:$G$32))</f>
        <v>1528856.6758806536</v>
      </c>
      <c r="F59" s="117" cm="1">
        <f t="array" ref="F59">(VLOOKUP($B59,$E$8:$G$32,3,0)*(-(VLOOKUP(F$50,$E$8:$G$32,3,0))))/SUMPRODUCT(($G$8:$G$32&gt;0)*($G$8:$G$32))</f>
        <v>17777.49573136148</v>
      </c>
      <c r="G59" s="117" cm="1">
        <f t="array" ref="G59">(VLOOKUP($B59,$E$8:$G$32,3,0)*(-(VLOOKUP(G$50,$E$8:$G$32,3,0))))/SUMPRODUCT(($G$8:$G$32&gt;0)*($G$8:$G$32))</f>
        <v>74985.937004125837</v>
      </c>
      <c r="H59" s="117" cm="1">
        <f t="array" ref="H59">(VLOOKUP($B59,$E$8:$G$32,3,0)*(-(VLOOKUP(H$50,$E$8:$G$32,3,0))))/SUMPRODUCT(($G$8:$G$32&gt;0)*($G$8:$G$32))</f>
        <v>16717.169093748675</v>
      </c>
      <c r="I59" s="117" cm="1">
        <f t="array" ref="I59">(VLOOKUP($B59,$E$8:$G$32,3,0)*(-(VLOOKUP(I$50,$E$8:$G$32,3,0))))/SUMPRODUCT(($G$8:$G$32&gt;0)*($G$8:$G$32))</f>
        <v>651411.10465377581</v>
      </c>
      <c r="J59" s="117" cm="1">
        <f t="array" ref="J59">(VLOOKUP($B59,$E$8:$G$32,3,0)*(-(VLOOKUP(J$50,$E$8:$G$32,3,0))))/SUMPRODUCT(($G$8:$G$32&gt;0)*($G$8:$G$32))</f>
        <v>940955.4858391342</v>
      </c>
      <c r="K59" s="117" cm="1">
        <f t="array" ref="K59">(VLOOKUP($B59,$E$8:$G$32,3,0)*(-(VLOOKUP(K$50,$E$8:$G$32,3,0))))/SUMPRODUCT(($G$8:$G$32&gt;0)*($G$8:$G$32))</f>
        <v>1650553.9475761305</v>
      </c>
      <c r="L59" s="117" cm="1">
        <f t="array" ref="L59">(VLOOKUP($B59,$E$8:$G$32,3,0)*(-(VLOOKUP(L$50,$E$8:$G$32,3,0))))/SUMPRODUCT(($G$8:$G$32&gt;0)*($G$8:$G$32))</f>
        <v>407953.27303812804</v>
      </c>
      <c r="M59" s="117" cm="1">
        <f t="array" ref="M59">(VLOOKUP($B59,$E$8:$G$32,3,0)*(-(VLOOKUP(M$50,$E$8:$G$32,3,0))))/SUMPRODUCT(($G$8:$G$32&gt;0)*($G$8:$G$32))</f>
        <v>89306.154988860188</v>
      </c>
      <c r="N59" s="117" cm="1">
        <f t="array" ref="N59">(VLOOKUP($B59,$E$8:$G$32,3,0)*(-(VLOOKUP(N$50,$E$8:$G$32,3,0))))/SUMPRODUCT(($G$8:$G$32&gt;0)*($G$8:$G$32))</f>
        <v>14504.342134564946</v>
      </c>
      <c r="O59" s="118">
        <f t="shared" si="1"/>
        <v>5567002.2003651587</v>
      </c>
    </row>
    <row r="60" spans="2:15" x14ac:dyDescent="0.2">
      <c r="B60" s="78" t="s">
        <v>41</v>
      </c>
      <c r="C60" s="117" cm="1">
        <f t="array" ref="C60">(VLOOKUP($B60,$E$8:$G$32,3,0)*(-(VLOOKUP(C$50,$E$8:$G$32,3,0))))/SUMPRODUCT(($G$8:$G$32&gt;0)*($G$8:$G$32))</f>
        <v>35698.592516584686</v>
      </c>
      <c r="D60" s="117" cm="1">
        <f t="array" ref="D60">(VLOOKUP($B60,$E$8:$G$32,3,0)*(-(VLOOKUP(D$50,$E$8:$G$32,3,0))))/SUMPRODUCT(($G$8:$G$32&gt;0)*($G$8:$G$32))</f>
        <v>394045.11624603817</v>
      </c>
      <c r="E60" s="117" cm="1">
        <f t="array" ref="E60">(VLOOKUP($B60,$E$8:$G$32,3,0)*(-(VLOOKUP(E$50,$E$8:$G$32,3,0))))/SUMPRODUCT(($G$8:$G$32&gt;0)*($G$8:$G$32))</f>
        <v>3776377.8466474093</v>
      </c>
      <c r="F60" s="117" cm="1">
        <f t="array" ref="F60">(VLOOKUP($B60,$E$8:$G$32,3,0)*(-(VLOOKUP(F$50,$E$8:$G$32,3,0))))/SUMPRODUCT(($G$8:$G$32&gt;0)*($G$8:$G$32))</f>
        <v>43911.598848931651</v>
      </c>
      <c r="G60" s="117" cm="1">
        <f t="array" ref="G60">(VLOOKUP($B60,$E$8:$G$32,3,0)*(-(VLOOKUP(G$50,$E$8:$G$32,3,0))))/SUMPRODUCT(($G$8:$G$32&gt;0)*($G$8:$G$32))</f>
        <v>185220.26019827148</v>
      </c>
      <c r="H60" s="117" cm="1">
        <f t="array" ref="H60">(VLOOKUP($B60,$E$8:$G$32,3,0)*(-(VLOOKUP(H$50,$E$8:$G$32,3,0))))/SUMPRODUCT(($G$8:$G$32&gt;0)*($G$8:$G$32))</f>
        <v>41292.521411745052</v>
      </c>
      <c r="I60" s="117" cm="1">
        <f t="array" ref="I60">(VLOOKUP($B60,$E$8:$G$32,3,0)*(-(VLOOKUP(I$50,$E$8:$G$32,3,0))))/SUMPRODUCT(($G$8:$G$32&gt;0)*($G$8:$G$32))</f>
        <v>1609028.8275437197</v>
      </c>
      <c r="J60" s="117" cm="1">
        <f t="array" ref="J60">(VLOOKUP($B60,$E$8:$G$32,3,0)*(-(VLOOKUP(J$50,$E$8:$G$32,3,0))))/SUMPRODUCT(($G$8:$G$32&gt;0)*($G$8:$G$32))</f>
        <v>2324222.7394254743</v>
      </c>
      <c r="K60" s="117" cm="1">
        <f t="array" ref="K60">(VLOOKUP($B60,$E$8:$G$32,3,0)*(-(VLOOKUP(K$50,$E$8:$G$32,3,0))))/SUMPRODUCT(($G$8:$G$32&gt;0)*($G$8:$G$32))</f>
        <v>4076978.2155887987</v>
      </c>
      <c r="L60" s="117" cm="1">
        <f t="array" ref="L60">(VLOOKUP($B60,$E$8:$G$32,3,0)*(-(VLOOKUP(L$50,$E$8:$G$32,3,0))))/SUMPRODUCT(($G$8:$G$32&gt;0)*($G$8:$G$32))</f>
        <v>1007671.7635294879</v>
      </c>
      <c r="M60" s="117" cm="1">
        <f t="array" ref="M60">(VLOOKUP($B60,$E$8:$G$32,3,0)*(-(VLOOKUP(M$50,$E$8:$G$32,3,0))))/SUMPRODUCT(($G$8:$G$32&gt;0)*($G$8:$G$32))</f>
        <v>220592.15267835776</v>
      </c>
      <c r="N60" s="117" cm="1">
        <f t="array" ref="N60">(VLOOKUP($B60,$E$8:$G$32,3,0)*(-(VLOOKUP(N$50,$E$8:$G$32,3,0))))/SUMPRODUCT(($G$8:$G$32&gt;0)*($G$8:$G$32))</f>
        <v>35826.691397095652</v>
      </c>
      <c r="O60" s="118">
        <f t="shared" si="1"/>
        <v>13750866.326031912</v>
      </c>
    </row>
    <row r="61" spans="2:15" x14ac:dyDescent="0.2">
      <c r="B61" s="78" t="s">
        <v>43</v>
      </c>
      <c r="C61" s="117" cm="1">
        <f t="array" ref="C61">(VLOOKUP($B61,$E$8:$G$32,3,0)*(-(VLOOKUP(C$50,$E$8:$G$32,3,0))))/SUMPRODUCT(($G$8:$G$32&gt;0)*($G$8:$G$32))</f>
        <v>38015.438339315187</v>
      </c>
      <c r="D61" s="117" cm="1">
        <f t="array" ref="D61">(VLOOKUP($B61,$E$8:$G$32,3,0)*(-(VLOOKUP(D$50,$E$8:$G$32,3,0))))/SUMPRODUCT(($G$8:$G$32&gt;0)*($G$8:$G$32))</f>
        <v>419618.72341606481</v>
      </c>
      <c r="E61" s="117" cm="1">
        <f t="array" ref="E61">(VLOOKUP($B61,$E$8:$G$32,3,0)*(-(VLOOKUP(E$50,$E$8:$G$32,3,0))))/SUMPRODUCT(($G$8:$G$32&gt;0)*($G$8:$G$32))</f>
        <v>4021465.5272049094</v>
      </c>
      <c r="F61" s="117" cm="1">
        <f t="array" ref="F61">(VLOOKUP($B61,$E$8:$G$32,3,0)*(-(VLOOKUP(F$50,$E$8:$G$32,3,0))))/SUMPRODUCT(($G$8:$G$32&gt;0)*($G$8:$G$32))</f>
        <v>46761.470431832313</v>
      </c>
      <c r="G61" s="117" cm="1">
        <f t="array" ref="G61">(VLOOKUP($B61,$E$8:$G$32,3,0)*(-(VLOOKUP(G$50,$E$8:$G$32,3,0))))/SUMPRODUCT(($G$8:$G$32&gt;0)*($G$8:$G$32))</f>
        <v>197241.09227802532</v>
      </c>
      <c r="H61" s="117" cm="1">
        <f t="array" ref="H61">(VLOOKUP($B61,$E$8:$G$32,3,0)*(-(VLOOKUP(H$50,$E$8:$G$32,3,0))))/SUMPRODUCT(($G$8:$G$32&gt;0)*($G$8:$G$32))</f>
        <v>43972.41434305226</v>
      </c>
      <c r="I61" s="117" cm="1">
        <f t="array" ref="I61">(VLOOKUP($B61,$E$8:$G$32,3,0)*(-(VLOOKUP(I$50,$E$8:$G$32,3,0))))/SUMPRODUCT(($G$8:$G$32&gt;0)*($G$8:$G$32))</f>
        <v>1713455.1215500098</v>
      </c>
      <c r="J61" s="117" cm="1">
        <f t="array" ref="J61">(VLOOKUP($B61,$E$8:$G$32,3,0)*(-(VLOOKUP(J$50,$E$8:$G$32,3,0))))/SUMPRODUCT(($G$8:$G$32&gt;0)*($G$8:$G$32))</f>
        <v>2475065.2619263679</v>
      </c>
      <c r="K61" s="117" cm="1">
        <f t="array" ref="K61">(VLOOKUP($B61,$E$8:$G$32,3,0)*(-(VLOOKUP(K$50,$E$8:$G$32,3,0))))/SUMPRODUCT(($G$8:$G$32&gt;0)*($G$8:$G$32))</f>
        <v>4341574.9204522166</v>
      </c>
      <c r="L61" s="117" cm="1">
        <f t="array" ref="L61">(VLOOKUP($B61,$E$8:$G$32,3,0)*(-(VLOOKUP(L$50,$E$8:$G$32,3,0))))/SUMPRODUCT(($G$8:$G$32&gt;0)*($G$8:$G$32))</f>
        <v>1073069.8633266205</v>
      </c>
      <c r="M61" s="117" cm="1">
        <f t="array" ref="M61">(VLOOKUP($B61,$E$8:$G$32,3,0)*(-(VLOOKUP(M$50,$E$8:$G$32,3,0))))/SUMPRODUCT(($G$8:$G$32&gt;0)*($G$8:$G$32))</f>
        <v>234908.62768287084</v>
      </c>
      <c r="N61" s="117" cm="1">
        <f t="array" ref="N61">(VLOOKUP($B61,$E$8:$G$32,3,0)*(-(VLOOKUP(N$50,$E$8:$G$32,3,0))))/SUMPRODUCT(($G$8:$G$32&gt;0)*($G$8:$G$32))</f>
        <v>38151.850862894025</v>
      </c>
      <c r="O61" s="118">
        <f t="shared" si="1"/>
        <v>14643300.311814178</v>
      </c>
    </row>
    <row r="62" spans="2:15" x14ac:dyDescent="0.2">
      <c r="B62" s="78" t="s">
        <v>49</v>
      </c>
      <c r="C62" s="117" cm="1">
        <f t="array" ref="C62">(VLOOKUP($B62,$E$8:$G$32,3,0)*(-(VLOOKUP(C$50,$E$8:$G$32,3,0))))/SUMPRODUCT(($G$8:$G$32&gt;0)*($G$8:$G$32))</f>
        <v>0</v>
      </c>
      <c r="D62" s="117" cm="1">
        <f t="array" ref="D62">(VLOOKUP($B62,$E$8:$G$32,3,0)*(-(VLOOKUP(D$50,$E$8:$G$32,3,0))))/SUMPRODUCT(($G$8:$G$32&gt;0)*($G$8:$G$32))</f>
        <v>0</v>
      </c>
      <c r="E62" s="117" cm="1">
        <f t="array" ref="E62">(VLOOKUP($B62,$E$8:$G$32,3,0)*(-(VLOOKUP(E$50,$E$8:$G$32,3,0))))/SUMPRODUCT(($G$8:$G$32&gt;0)*($G$8:$G$32))</f>
        <v>0</v>
      </c>
      <c r="F62" s="117" cm="1">
        <f t="array" ref="F62">(VLOOKUP($B62,$E$8:$G$32,3,0)*(-(VLOOKUP(F$50,$E$8:$G$32,3,0))))/SUMPRODUCT(($G$8:$G$32&gt;0)*($G$8:$G$32))</f>
        <v>0</v>
      </c>
      <c r="G62" s="117" cm="1">
        <f t="array" ref="G62">(VLOOKUP($B62,$E$8:$G$32,3,0)*(-(VLOOKUP(G$50,$E$8:$G$32,3,0))))/SUMPRODUCT(($G$8:$G$32&gt;0)*($G$8:$G$32))</f>
        <v>0</v>
      </c>
      <c r="H62" s="117" cm="1">
        <f t="array" ref="H62">(VLOOKUP($B62,$E$8:$G$32,3,0)*(-(VLOOKUP(H$50,$E$8:$G$32,3,0))))/SUMPRODUCT(($G$8:$G$32&gt;0)*($G$8:$G$32))</f>
        <v>0</v>
      </c>
      <c r="I62" s="117" cm="1">
        <f t="array" ref="I62">(VLOOKUP($B62,$E$8:$G$32,3,0)*(-(VLOOKUP(I$50,$E$8:$G$32,3,0))))/SUMPRODUCT(($G$8:$G$32&gt;0)*($G$8:$G$32))</f>
        <v>0</v>
      </c>
      <c r="J62" s="117" cm="1">
        <f t="array" ref="J62">(VLOOKUP($B62,$E$8:$G$32,3,0)*(-(VLOOKUP(J$50,$E$8:$G$32,3,0))))/SUMPRODUCT(($G$8:$G$32&gt;0)*($G$8:$G$32))</f>
        <v>0</v>
      </c>
      <c r="K62" s="117" cm="1">
        <f t="array" ref="K62">(VLOOKUP($B62,$E$8:$G$32,3,0)*(-(VLOOKUP(K$50,$E$8:$G$32,3,0))))/SUMPRODUCT(($G$8:$G$32&gt;0)*($G$8:$G$32))</f>
        <v>0</v>
      </c>
      <c r="L62" s="117" cm="1">
        <f t="array" ref="L62">(VLOOKUP($B62,$E$8:$G$32,3,0)*(-(VLOOKUP(L$50,$E$8:$G$32,3,0))))/SUMPRODUCT(($G$8:$G$32&gt;0)*($G$8:$G$32))</f>
        <v>0</v>
      </c>
      <c r="M62" s="117" cm="1">
        <f t="array" ref="M62">(VLOOKUP($B62,$E$8:$G$32,3,0)*(-(VLOOKUP(M$50,$E$8:$G$32,3,0))))/SUMPRODUCT(($G$8:$G$32&gt;0)*($G$8:$G$32))</f>
        <v>0</v>
      </c>
      <c r="N62" s="117" cm="1">
        <f t="array" ref="N62">(VLOOKUP($B62,$E$8:$G$32,3,0)*(-(VLOOKUP(N$50,$E$8:$G$32,3,0))))/SUMPRODUCT(($G$8:$G$32&gt;0)*($G$8:$G$32))</f>
        <v>0</v>
      </c>
      <c r="O62" s="118">
        <f>SUM(C62:N62)</f>
        <v>0</v>
      </c>
    </row>
    <row r="63" spans="2:15" x14ac:dyDescent="0.2">
      <c r="B63" s="78" t="s">
        <v>50</v>
      </c>
      <c r="C63" s="117" cm="1">
        <f t="array" ref="C63">(VLOOKUP($B63,$E$8:$G$32,3,0)*(-(VLOOKUP(C$50,$E$8:$G$32,3,0))))/SUMPRODUCT(($G$8:$G$32&gt;0)*($G$8:$G$32))</f>
        <v>0</v>
      </c>
      <c r="D63" s="117" cm="1">
        <f t="array" ref="D63">(VLOOKUP($B63,$E$8:$G$32,3,0)*(-(VLOOKUP(D$50,$E$8:$G$32,3,0))))/SUMPRODUCT(($G$8:$G$32&gt;0)*($G$8:$G$32))</f>
        <v>0</v>
      </c>
      <c r="E63" s="117" cm="1">
        <f t="array" ref="E63">(VLOOKUP($B63,$E$8:$G$32,3,0)*(-(VLOOKUP(E$50,$E$8:$G$32,3,0))))/SUMPRODUCT(($G$8:$G$32&gt;0)*($G$8:$G$32))</f>
        <v>0</v>
      </c>
      <c r="F63" s="117" cm="1">
        <f t="array" ref="F63">(VLOOKUP($B63,$E$8:$G$32,3,0)*(-(VLOOKUP(F$50,$E$8:$G$32,3,0))))/SUMPRODUCT(($G$8:$G$32&gt;0)*($G$8:$G$32))</f>
        <v>0</v>
      </c>
      <c r="G63" s="117" cm="1">
        <f t="array" ref="G63">(VLOOKUP($B63,$E$8:$G$32,3,0)*(-(VLOOKUP(G$50,$E$8:$G$32,3,0))))/SUMPRODUCT(($G$8:$G$32&gt;0)*($G$8:$G$32))</f>
        <v>0</v>
      </c>
      <c r="H63" s="117" cm="1">
        <f t="array" ref="H63">(VLOOKUP($B63,$E$8:$G$32,3,0)*(-(VLOOKUP(H$50,$E$8:$G$32,3,0))))/SUMPRODUCT(($G$8:$G$32&gt;0)*($G$8:$G$32))</f>
        <v>0</v>
      </c>
      <c r="I63" s="117" cm="1">
        <f t="array" ref="I63">(VLOOKUP($B63,$E$8:$G$32,3,0)*(-(VLOOKUP(I$50,$E$8:$G$32,3,0))))/SUMPRODUCT(($G$8:$G$32&gt;0)*($G$8:$G$32))</f>
        <v>0</v>
      </c>
      <c r="J63" s="117" cm="1">
        <f t="array" ref="J63">(VLOOKUP($B63,$E$8:$G$32,3,0)*(-(VLOOKUP(J$50,$E$8:$G$32,3,0))))/SUMPRODUCT(($G$8:$G$32&gt;0)*($G$8:$G$32))</f>
        <v>0</v>
      </c>
      <c r="K63" s="117" cm="1">
        <f t="array" ref="K63">(VLOOKUP($B63,$E$8:$G$32,3,0)*(-(VLOOKUP(K$50,$E$8:$G$32,3,0))))/SUMPRODUCT(($G$8:$G$32&gt;0)*($G$8:$G$32))</f>
        <v>0</v>
      </c>
      <c r="L63" s="117" cm="1">
        <f t="array" ref="L63">(VLOOKUP($B63,$E$8:$G$32,3,0)*(-(VLOOKUP(L$50,$E$8:$G$32,3,0))))/SUMPRODUCT(($G$8:$G$32&gt;0)*($G$8:$G$32))</f>
        <v>0</v>
      </c>
      <c r="M63" s="117" cm="1">
        <f t="array" ref="M63">(VLOOKUP($B63,$E$8:$G$32,3,0)*(-(VLOOKUP(M$50,$E$8:$G$32,3,0))))/SUMPRODUCT(($G$8:$G$32&gt;0)*($G$8:$G$32))</f>
        <v>0</v>
      </c>
      <c r="N63" s="117" cm="1">
        <f t="array" ref="N63">(VLOOKUP($B63,$E$8:$G$32,3,0)*(-(VLOOKUP(N$50,$E$8:$G$32,3,0))))/SUMPRODUCT(($G$8:$G$32&gt;0)*($G$8:$G$32))</f>
        <v>0</v>
      </c>
      <c r="O63" s="118">
        <f>SUM(C63:N63)</f>
        <v>0</v>
      </c>
    </row>
    <row r="64" spans="2:15" x14ac:dyDescent="0.2">
      <c r="B64" s="119" t="s">
        <v>52</v>
      </c>
      <c r="C64" s="120">
        <f t="shared" ref="C64:M64" si="2">SUM(C51:C63)</f>
        <v>2278188.3288396006</v>
      </c>
      <c r="D64" s="120">
        <f t="shared" si="2"/>
        <v>25146901.364554208</v>
      </c>
      <c r="E64" s="120">
        <f t="shared" si="2"/>
        <v>240998295.1435318</v>
      </c>
      <c r="F64" s="120">
        <f t="shared" si="2"/>
        <v>2802320.3422332942</v>
      </c>
      <c r="G64" s="120">
        <f t="shared" si="2"/>
        <v>11820259.716186313</v>
      </c>
      <c r="H64" s="120">
        <f t="shared" si="2"/>
        <v>2635177.8520369753</v>
      </c>
      <c r="I64" s="120">
        <f t="shared" si="2"/>
        <v>102683899.76365562</v>
      </c>
      <c r="J64" s="120">
        <f t="shared" si="2"/>
        <v>148325655.02751362</v>
      </c>
      <c r="K64" s="120">
        <f t="shared" si="2"/>
        <v>260181803.62076375</v>
      </c>
      <c r="L64" s="120">
        <f t="shared" si="2"/>
        <v>64306906.495195515</v>
      </c>
      <c r="M64" s="120">
        <f t="shared" si="2"/>
        <v>14077598.925839029</v>
      </c>
      <c r="N64" s="120">
        <f>SUM(N51:N63)</f>
        <v>2286363.2554668034</v>
      </c>
      <c r="O64" s="82">
        <f>SUM(O51:O63)</f>
        <v>877543369.83581662</v>
      </c>
    </row>
    <row r="65" spans="2:16" x14ac:dyDescent="0.2">
      <c r="B65" s="50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P65" s="17"/>
    </row>
    <row r="66" spans="2:16" x14ac:dyDescent="0.2">
      <c r="B66" s="110"/>
      <c r="C66" s="121"/>
      <c r="D66" s="121"/>
      <c r="E66" s="121"/>
      <c r="F66" s="121"/>
      <c r="G66" s="121"/>
      <c r="H66" s="50"/>
      <c r="I66" s="50"/>
      <c r="J66" s="50"/>
      <c r="K66" s="50"/>
      <c r="L66" s="50"/>
      <c r="M66" s="50"/>
      <c r="N66" s="50"/>
      <c r="O66" s="84">
        <f>-SUMPRODUCT(($G$8:$G$32&lt;0)*($G$8:$G$32))</f>
        <v>877543369.83581638</v>
      </c>
    </row>
    <row r="67" spans="2:16" x14ac:dyDescent="0.2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85">
        <f>O64-O66</f>
        <v>0</v>
      </c>
    </row>
    <row r="68" spans="2:16" x14ac:dyDescent="0.2"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85">
        <f>O64-J6</f>
        <v>0</v>
      </c>
    </row>
    <row r="82" spans="4:7" x14ac:dyDescent="0.2">
      <c r="D82" s="50"/>
      <c r="E82" s="50"/>
      <c r="F82" s="50"/>
      <c r="G82" s="50"/>
    </row>
  </sheetData>
  <mergeCells count="10">
    <mergeCell ref="J6:J7"/>
    <mergeCell ref="B49:B50"/>
    <mergeCell ref="C49:N49"/>
    <mergeCell ref="O49:O50"/>
    <mergeCell ref="B6:B7"/>
    <mergeCell ref="C6:C7"/>
    <mergeCell ref="E6:E7"/>
    <mergeCell ref="F6:F7"/>
    <mergeCell ref="G6:G7"/>
    <mergeCell ref="I6:I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696E3-4CBA-4D55-8D69-33B1FD69AF18}">
  <sheetPr codeName="Hoja12">
    <tabColor theme="7" tint="0.79998168889431442"/>
  </sheetPr>
  <dimension ref="B2:Q52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6.5703125" style="20" customWidth="1"/>
    <col min="2" max="2" width="24.85546875" style="20" customWidth="1"/>
    <col min="3" max="3" width="11.5703125" style="20" bestFit="1" customWidth="1"/>
    <col min="4" max="4" width="13.140625" style="20" bestFit="1" customWidth="1"/>
    <col min="5" max="5" width="12.5703125" style="20" customWidth="1"/>
    <col min="6" max="6" width="11.28515625" style="20" customWidth="1"/>
    <col min="7" max="7" width="12.140625" style="20" bestFit="1" customWidth="1"/>
    <col min="8" max="8" width="12.5703125" style="20" customWidth="1"/>
    <col min="9" max="9" width="13.85546875" style="20" customWidth="1"/>
    <col min="10" max="10" width="12.85546875" style="20" customWidth="1"/>
    <col min="11" max="11" width="13.85546875" style="20" customWidth="1"/>
    <col min="12" max="12" width="12.140625" style="20" bestFit="1" customWidth="1"/>
    <col min="13" max="13" width="11.5703125" style="20" bestFit="1" customWidth="1"/>
    <col min="14" max="14" width="14.42578125" style="20" customWidth="1"/>
    <col min="15" max="15" width="15.42578125" style="20" customWidth="1"/>
    <col min="16" max="16" width="11.7109375" style="20" customWidth="1"/>
    <col min="17" max="17" width="12.42578125" style="20" bestFit="1" customWidth="1"/>
    <col min="18" max="18" width="23.85546875" style="20" customWidth="1"/>
    <col min="19" max="16384" width="11.42578125" style="20"/>
  </cols>
  <sheetData>
    <row r="2" spans="2:17" x14ac:dyDescent="0.2">
      <c r="B2" s="19" t="s">
        <v>97</v>
      </c>
      <c r="C2" s="19"/>
      <c r="D2" s="19"/>
    </row>
    <row r="3" spans="2:17" x14ac:dyDescent="0.2">
      <c r="B3" s="21">
        <f>FechaFacturacion</f>
        <v>45689</v>
      </c>
      <c r="C3" s="22"/>
      <c r="D3" s="22"/>
      <c r="I3" s="23" t="s">
        <v>57</v>
      </c>
      <c r="J3" s="24"/>
      <c r="K3" s="24"/>
    </row>
    <row r="4" spans="2:17" x14ac:dyDescent="0.2">
      <c r="B4" s="25"/>
      <c r="D4" s="22"/>
      <c r="I4" s="26">
        <f>'Reliquidación TD'!$I$4</f>
        <v>3.9347948285552992E-3</v>
      </c>
      <c r="J4" s="27"/>
      <c r="K4" s="27"/>
    </row>
    <row r="6" spans="2:17" ht="12.75" customHeight="1" x14ac:dyDescent="0.2">
      <c r="B6" s="29" t="s">
        <v>6</v>
      </c>
      <c r="C6" s="29" t="s">
        <v>7</v>
      </c>
      <c r="D6" s="29" t="s">
        <v>8</v>
      </c>
      <c r="E6" s="29" t="s">
        <v>9</v>
      </c>
      <c r="F6" s="29" t="s">
        <v>10</v>
      </c>
      <c r="G6" s="29" t="s">
        <v>55</v>
      </c>
      <c r="H6" s="29" t="str">
        <f>"Saldo "&amp;TEXT(B3-1,"mmmmmmmmmm")</f>
        <v>Saldo enero</v>
      </c>
      <c r="I6" s="29" t="s">
        <v>58</v>
      </c>
      <c r="J6" s="29" t="s">
        <v>59</v>
      </c>
      <c r="K6" s="29" t="s">
        <v>60</v>
      </c>
      <c r="L6" s="30" t="s">
        <v>55</v>
      </c>
      <c r="M6" s="29" t="s">
        <v>90</v>
      </c>
      <c r="N6" s="31" t="s">
        <v>91</v>
      </c>
      <c r="O6" s="29" t="s">
        <v>64</v>
      </c>
      <c r="P6" s="29" t="s">
        <v>65</v>
      </c>
    </row>
    <row r="7" spans="2:17" x14ac:dyDescent="0.2">
      <c r="B7" s="33"/>
      <c r="C7" s="34"/>
      <c r="D7" s="34"/>
      <c r="E7" s="34"/>
      <c r="F7" s="34"/>
      <c r="G7" s="34"/>
      <c r="H7" s="35"/>
      <c r="I7" s="34"/>
      <c r="J7" s="34"/>
      <c r="K7" s="34"/>
      <c r="L7" s="30"/>
      <c r="M7" s="34"/>
      <c r="N7" s="36"/>
      <c r="O7" s="34"/>
      <c r="P7" s="34"/>
    </row>
    <row r="8" spans="2:17" ht="13.5" customHeight="1" x14ac:dyDescent="0.2">
      <c r="B8" s="33"/>
      <c r="C8" s="37" t="s">
        <v>12</v>
      </c>
      <c r="D8" s="37" t="s">
        <v>12</v>
      </c>
      <c r="E8" s="37" t="s">
        <v>12</v>
      </c>
      <c r="F8" s="37" t="s">
        <v>12</v>
      </c>
      <c r="G8" s="37" t="s">
        <v>13</v>
      </c>
      <c r="H8" s="37" t="s">
        <v>13</v>
      </c>
      <c r="I8" s="37" t="s">
        <v>13</v>
      </c>
      <c r="J8" s="37" t="s">
        <v>13</v>
      </c>
      <c r="K8" s="37" t="s">
        <v>13</v>
      </c>
      <c r="L8" s="37" t="s">
        <v>13</v>
      </c>
      <c r="M8" s="37" t="s">
        <v>13</v>
      </c>
      <c r="N8" s="38" t="s">
        <v>13</v>
      </c>
      <c r="O8" s="39" t="s">
        <v>13</v>
      </c>
      <c r="P8" s="39" t="s">
        <v>13</v>
      </c>
    </row>
    <row r="9" spans="2:17" x14ac:dyDescent="0.2">
      <c r="B9" s="40" t="s">
        <v>14</v>
      </c>
      <c r="C9" s="41">
        <f>SUMIF('Entrada 7TRAN'!$E$8:$E$43,'Reliquidación 7TRAN'!$B9,'Entrada 7TRAN'!F$8:F$43)</f>
        <v>5858488</v>
      </c>
      <c r="D9" s="41">
        <f>SUMIF('Entrada 7TRAN'!$E$8:$E$43,'Reliquidación 7TRAN'!$B9,'Entrada 7TRAN'!G$8:G$43)</f>
        <v>3604124</v>
      </c>
      <c r="E9" s="41">
        <f>SUMIF('Entrada 7TRAN'!$E$8:$E$43,'Reliquidación 7TRAN'!$B9,'Entrada 7TRAN'!H$8:H$43)</f>
        <v>182555</v>
      </c>
      <c r="F9" s="41">
        <f>SUMIF('Entrada 7TRAN'!$E$8:$E$43,'Reliquidación 7TRAN'!$B9,'Entrada 7TRAN'!I$8:I$43)</f>
        <v>50278</v>
      </c>
      <c r="G9" s="41">
        <f>SUMIF('Entrada 7TRAN'!$E$8:$E$43,'Reliquidación 7TRAN'!$B9,'Entrada 7TRAN'!J$8:J$43)</f>
        <v>6714525.3877317877</v>
      </c>
      <c r="H9" s="41">
        <v>2221969.9514617827</v>
      </c>
      <c r="I9" s="41">
        <f t="shared" ref="I9:I43" si="0">H9*($I$4+1)</f>
        <v>2230712.9473359999</v>
      </c>
      <c r="J9" s="41">
        <v>0</v>
      </c>
      <c r="K9" s="41">
        <f>+J9*($I$4+1)</f>
        <v>0</v>
      </c>
      <c r="L9" s="41">
        <f>G9+I9+K9</f>
        <v>8945238.3350677881</v>
      </c>
      <c r="M9" s="41">
        <f>IF(L9&lt;0,-L9,0)</f>
        <v>0</v>
      </c>
      <c r="N9" s="41">
        <f>IF(L9&gt;0,L9,0)</f>
        <v>8945238.3350677881</v>
      </c>
      <c r="O9" s="41">
        <f t="shared" ref="O9:O42" si="1">IF(OR($M$44=0,$N$44=0),0,((M9/$M$44-N9/$N$44)*$N$49))</f>
        <v>-4521792.1530649299</v>
      </c>
      <c r="P9" s="41">
        <f>L9+O9</f>
        <v>4423446.1820028583</v>
      </c>
      <c r="Q9" s="86"/>
    </row>
    <row r="10" spans="2:17" x14ac:dyDescent="0.2">
      <c r="B10" s="42" t="s">
        <v>15</v>
      </c>
      <c r="C10" s="43">
        <f>SUMIF('Entrada 7TRAN'!$E$8:$E$43,'Reliquidación 7TRAN'!$B10,'Entrada 7TRAN'!F$8:F$43)</f>
        <v>1351299</v>
      </c>
      <c r="D10" s="43">
        <f>SUMIF('Entrada 7TRAN'!$E$8:$E$43,'Reliquidación 7TRAN'!$B10,'Entrada 7TRAN'!G$8:G$43)</f>
        <v>4568128</v>
      </c>
      <c r="E10" s="43">
        <f>SUMIF('Entrada 7TRAN'!$E$8:$E$43,'Reliquidación 7TRAN'!$B10,'Entrada 7TRAN'!H$8:H$43)</f>
        <v>2684</v>
      </c>
      <c r="F10" s="43">
        <f>SUMIF('Entrada 7TRAN'!$E$8:$E$43,'Reliquidación 7TRAN'!$B10,'Entrada 7TRAN'!I$8:I$43)</f>
        <v>40256</v>
      </c>
      <c r="G10" s="43">
        <f>SUMIF('Entrada 7TRAN'!$E$8:$E$43,'Reliquidación 7TRAN'!$B10,'Entrada 7TRAN'!J$8:J$43)</f>
        <v>3974015.8616773989</v>
      </c>
      <c r="H10" s="43">
        <v>1083550.5768469204</v>
      </c>
      <c r="I10" s="43">
        <f t="shared" si="0"/>
        <v>1087814.1260531759</v>
      </c>
      <c r="J10" s="43">
        <v>0</v>
      </c>
      <c r="K10" s="43">
        <f t="shared" ref="K10:K43" si="2">+J10*($I$4+1)</f>
        <v>0</v>
      </c>
      <c r="L10" s="43">
        <f t="shared" ref="L10:L43" si="3">G10+I10+K10</f>
        <v>5061829.9877305748</v>
      </c>
      <c r="M10" s="43">
        <f t="shared" ref="M10:M43" si="4">IF(L10&lt;0,-L10,0)</f>
        <v>0</v>
      </c>
      <c r="N10" s="43">
        <f>IF(L10&gt;0,L10,0)</f>
        <v>5061829.9877305748</v>
      </c>
      <c r="O10" s="43">
        <f t="shared" si="1"/>
        <v>-2558740.4450633246</v>
      </c>
      <c r="P10" s="43">
        <f t="shared" ref="P10:P43" si="5">L10+O10</f>
        <v>2503089.5426672501</v>
      </c>
      <c r="Q10" s="86"/>
    </row>
    <row r="11" spans="2:17" x14ac:dyDescent="0.2">
      <c r="B11" s="42" t="s">
        <v>16</v>
      </c>
      <c r="C11" s="43">
        <f>SUMIF('Entrada 7TRAN'!$E$8:$E$43,'Reliquidación 7TRAN'!$B11,'Entrada 7TRAN'!F$8:F$43)</f>
        <v>3609797</v>
      </c>
      <c r="D11" s="43">
        <f>SUMIF('Entrada 7TRAN'!$E$8:$E$43,'Reliquidación 7TRAN'!$B11,'Entrada 7TRAN'!G$8:G$43)</f>
        <v>13736630.449999999</v>
      </c>
      <c r="E11" s="43">
        <f>SUMIF('Entrada 7TRAN'!$E$8:$E$43,'Reliquidación 7TRAN'!$B11,'Entrada 7TRAN'!H$8:H$43)</f>
        <v>0</v>
      </c>
      <c r="F11" s="43">
        <f>SUMIF('Entrada 7TRAN'!$E$8:$E$43,'Reliquidación 7TRAN'!$B11,'Entrada 7TRAN'!I$8:I$43)</f>
        <v>32662</v>
      </c>
      <c r="G11" s="43">
        <f>SUMIF('Entrada 7TRAN'!$E$8:$E$43,'Reliquidación 7TRAN'!$B11,'Entrada 7TRAN'!J$8:J$43)</f>
        <v>13148663.589220211</v>
      </c>
      <c r="H11" s="43">
        <v>4373416.6055711582</v>
      </c>
      <c r="I11" s="43">
        <f t="shared" si="0"/>
        <v>4390625.1026138775</v>
      </c>
      <c r="J11" s="43">
        <v>0</v>
      </c>
      <c r="K11" s="43">
        <f t="shared" si="2"/>
        <v>0</v>
      </c>
      <c r="L11" s="43">
        <f t="shared" si="3"/>
        <v>17539288.691834088</v>
      </c>
      <c r="M11" s="43">
        <f t="shared" si="4"/>
        <v>0</v>
      </c>
      <c r="N11" s="43">
        <f t="shared" ref="N11:N43" si="6">IF(L11&gt;0,L11,0)</f>
        <v>17539288.691834088</v>
      </c>
      <c r="O11" s="43">
        <f t="shared" si="1"/>
        <v>-8866059.7969941981</v>
      </c>
      <c r="P11" s="43">
        <f t="shared" si="5"/>
        <v>8673228.8948398903</v>
      </c>
      <c r="Q11" s="86"/>
    </row>
    <row r="12" spans="2:17" x14ac:dyDescent="0.2">
      <c r="B12" s="42" t="s">
        <v>17</v>
      </c>
      <c r="C12" s="43">
        <f>SUMIF('Entrada 7TRAN'!$E$8:$E$43,'Reliquidación 7TRAN'!$B12,'Entrada 7TRAN'!F$8:F$43)</f>
        <v>497568</v>
      </c>
      <c r="D12" s="43">
        <f>SUMIF('Entrada 7TRAN'!$E$8:$E$43,'Reliquidación 7TRAN'!$B12,'Entrada 7TRAN'!G$8:G$43)</f>
        <v>1473676</v>
      </c>
      <c r="E12" s="43">
        <f>SUMIF('Entrada 7TRAN'!$E$8:$E$43,'Reliquidación 7TRAN'!$B12,'Entrada 7TRAN'!H$8:H$43)</f>
        <v>0</v>
      </c>
      <c r="F12" s="43">
        <f>SUMIF('Entrada 7TRAN'!$E$8:$E$43,'Reliquidación 7TRAN'!$B12,'Entrada 7TRAN'!I$8:I$43)</f>
        <v>0</v>
      </c>
      <c r="G12" s="43">
        <f>SUMIF('Entrada 7TRAN'!$E$8:$E$43,'Reliquidación 7TRAN'!$B12,'Entrada 7TRAN'!J$8:J$43)</f>
        <v>1660628.3896302939</v>
      </c>
      <c r="H12" s="43">
        <v>509667.60638175835</v>
      </c>
      <c r="I12" s="43">
        <f t="shared" si="0"/>
        <v>511673.04384363146</v>
      </c>
      <c r="J12" s="43">
        <v>0</v>
      </c>
      <c r="K12" s="43">
        <f t="shared" si="2"/>
        <v>0</v>
      </c>
      <c r="L12" s="43">
        <f t="shared" si="3"/>
        <v>2172301.4334739256</v>
      </c>
      <c r="M12" s="43">
        <f t="shared" si="4"/>
        <v>0</v>
      </c>
      <c r="N12" s="43">
        <f t="shared" si="6"/>
        <v>2172301.4334739256</v>
      </c>
      <c r="O12" s="43">
        <f t="shared" si="1"/>
        <v>-1098092.1030875649</v>
      </c>
      <c r="P12" s="43">
        <f t="shared" si="5"/>
        <v>1074209.3303863606</v>
      </c>
      <c r="Q12" s="86"/>
    </row>
    <row r="13" spans="2:17" x14ac:dyDescent="0.2">
      <c r="B13" s="42" t="s">
        <v>18</v>
      </c>
      <c r="C13" s="43">
        <f>SUMIF('Entrada 7TRAN'!$E$8:$E$43,'Reliquidación 7TRAN'!$B13,'Entrada 7TRAN'!F$8:F$43)</f>
        <v>179075049.39700001</v>
      </c>
      <c r="D13" s="43">
        <f>SUMIF('Entrada 7TRAN'!$E$8:$E$43,'Reliquidación 7TRAN'!$B13,'Entrada 7TRAN'!G$8:G$43)</f>
        <v>449687404.71100003</v>
      </c>
      <c r="E13" s="43">
        <f>SUMIF('Entrada 7TRAN'!$E$8:$E$43,'Reliquidación 7TRAN'!$B13,'Entrada 7TRAN'!H$8:H$43)</f>
        <v>2809205.594</v>
      </c>
      <c r="F13" s="43">
        <f>SUMIF('Entrada 7TRAN'!$E$8:$E$43,'Reliquidación 7TRAN'!$B13,'Entrada 7TRAN'!I$8:I$43)</f>
        <v>-2192337.3640000001</v>
      </c>
      <c r="G13" s="43">
        <f>SUMIF('Entrada 7TRAN'!$E$8:$E$43,'Reliquidación 7TRAN'!$B13,'Entrada 7TRAN'!J$8:J$43)</f>
        <v>-295750213.37640542</v>
      </c>
      <c r="H13" s="43">
        <v>0</v>
      </c>
      <c r="I13" s="43">
        <f t="shared" si="0"/>
        <v>0</v>
      </c>
      <c r="J13" s="43">
        <v>0</v>
      </c>
      <c r="K13" s="43">
        <f t="shared" si="2"/>
        <v>0</v>
      </c>
      <c r="L13" s="43">
        <f t="shared" si="3"/>
        <v>-295750213.37640542</v>
      </c>
      <c r="M13" s="43">
        <f t="shared" si="4"/>
        <v>295750213.37640542</v>
      </c>
      <c r="N13" s="43">
        <f t="shared" si="6"/>
        <v>0</v>
      </c>
      <c r="O13" s="43">
        <f t="shared" si="1"/>
        <v>295750213.37640542</v>
      </c>
      <c r="P13" s="43">
        <f t="shared" si="5"/>
        <v>0</v>
      </c>
      <c r="Q13" s="86"/>
    </row>
    <row r="14" spans="2:17" x14ac:dyDescent="0.2">
      <c r="B14" s="42" t="s">
        <v>20</v>
      </c>
      <c r="C14" s="43">
        <f>SUMIF('Entrada 7TRAN'!$E$8:$E$43,'Reliquidación 7TRAN'!$B14,'Entrada 7TRAN'!F$8:F$43)</f>
        <v>73958.002999999997</v>
      </c>
      <c r="D14" s="43">
        <f>SUMIF('Entrada 7TRAN'!$E$8:$E$43,'Reliquidación 7TRAN'!$B14,'Entrada 7TRAN'!G$8:G$43)</f>
        <v>1001024.439</v>
      </c>
      <c r="E14" s="43">
        <f>SUMIF('Entrada 7TRAN'!$E$8:$E$43,'Reliquidación 7TRAN'!$B14,'Entrada 7TRAN'!H$8:H$43)</f>
        <v>0</v>
      </c>
      <c r="F14" s="43">
        <f>SUMIF('Entrada 7TRAN'!$E$8:$E$43,'Reliquidación 7TRAN'!$B14,'Entrada 7TRAN'!I$8:I$43)</f>
        <v>0</v>
      </c>
      <c r="G14" s="43">
        <f>SUMIF('Entrada 7TRAN'!$E$8:$E$43,'Reliquidación 7TRAN'!$B14,'Entrada 7TRAN'!J$8:J$43)</f>
        <v>594777.50771944271</v>
      </c>
      <c r="H14" s="43">
        <v>193303.42907803343</v>
      </c>
      <c r="I14" s="43">
        <f t="shared" si="0"/>
        <v>194064.03841111169</v>
      </c>
      <c r="J14" s="43">
        <v>0</v>
      </c>
      <c r="K14" s="43">
        <f t="shared" si="2"/>
        <v>0</v>
      </c>
      <c r="L14" s="43">
        <f t="shared" si="3"/>
        <v>788841.5461305544</v>
      </c>
      <c r="M14" s="43">
        <f t="shared" si="4"/>
        <v>0</v>
      </c>
      <c r="N14" s="43">
        <f t="shared" si="6"/>
        <v>788841.5461305544</v>
      </c>
      <c r="O14" s="43">
        <f t="shared" si="1"/>
        <v>-398757.12414740445</v>
      </c>
      <c r="P14" s="43">
        <f t="shared" si="5"/>
        <v>390084.42198314995</v>
      </c>
      <c r="Q14" s="86"/>
    </row>
    <row r="15" spans="2:17" x14ac:dyDescent="0.2">
      <c r="B15" s="42" t="s">
        <v>21</v>
      </c>
      <c r="C15" s="43">
        <f>SUMIF('Entrada 7TRAN'!$E$8:$E$43,'Reliquidación 7TRAN'!$B15,'Entrada 7TRAN'!F$8:F$43)</f>
        <v>12259688.81893453</v>
      </c>
      <c r="D15" s="43">
        <f>SUMIF('Entrada 7TRAN'!$E$8:$E$43,'Reliquidación 7TRAN'!$B15,'Entrada 7TRAN'!G$8:G$43)</f>
        <v>19502529.916000001</v>
      </c>
      <c r="E15" s="43">
        <f>SUMIF('Entrada 7TRAN'!$E$8:$E$43,'Reliquidación 7TRAN'!$B15,'Entrada 7TRAN'!H$8:H$43)</f>
        <v>296192.02</v>
      </c>
      <c r="F15" s="43">
        <f>SUMIF('Entrada 7TRAN'!$E$8:$E$43,'Reliquidación 7TRAN'!$B15,'Entrada 7TRAN'!I$8:I$43)</f>
        <v>56319.735999999997</v>
      </c>
      <c r="G15" s="43">
        <f>SUMIF('Entrada 7TRAN'!$E$8:$E$43,'Reliquidación 7TRAN'!$B15,'Entrada 7TRAN'!J$8:J$43)</f>
        <v>-19130973.37910438</v>
      </c>
      <c r="H15" s="43">
        <v>0</v>
      </c>
      <c r="I15" s="43">
        <f t="shared" si="0"/>
        <v>0</v>
      </c>
      <c r="J15" s="43">
        <v>0</v>
      </c>
      <c r="K15" s="43">
        <f t="shared" si="2"/>
        <v>0</v>
      </c>
      <c r="L15" s="43">
        <f t="shared" si="3"/>
        <v>-19130973.37910438</v>
      </c>
      <c r="M15" s="43">
        <f t="shared" si="4"/>
        <v>19130973.37910438</v>
      </c>
      <c r="N15" s="43">
        <f t="shared" si="6"/>
        <v>0</v>
      </c>
      <c r="O15" s="43">
        <f t="shared" si="1"/>
        <v>19130973.37910438</v>
      </c>
      <c r="P15" s="43">
        <f t="shared" si="5"/>
        <v>0</v>
      </c>
      <c r="Q15" s="86"/>
    </row>
    <row r="16" spans="2:17" x14ac:dyDescent="0.2">
      <c r="B16" s="42" t="s">
        <v>22</v>
      </c>
      <c r="C16" s="43">
        <f>SUMIF('Entrada 7TRAN'!$E$8:$E$43,'Reliquidación 7TRAN'!$B16,'Entrada 7TRAN'!F$8:F$43)</f>
        <v>0</v>
      </c>
      <c r="D16" s="43">
        <f>SUMIF('Entrada 7TRAN'!$E$8:$E$43,'Reliquidación 7TRAN'!$B16,'Entrada 7TRAN'!G$8:G$43)</f>
        <v>0</v>
      </c>
      <c r="E16" s="43">
        <f>SUMIF('Entrada 7TRAN'!$E$8:$E$43,'Reliquidación 7TRAN'!$B16,'Entrada 7TRAN'!H$8:H$43)</f>
        <v>0</v>
      </c>
      <c r="F16" s="43">
        <f>SUMIF('Entrada 7TRAN'!$E$8:$E$43,'Reliquidación 7TRAN'!$B16,'Entrada 7TRAN'!I$8:I$43)</f>
        <v>0</v>
      </c>
      <c r="G16" s="43">
        <f>SUMIF('Entrada 7TRAN'!$E$8:$E$43,'Reliquidación 7TRAN'!$B16,'Entrada 7TRAN'!J$8:J$43)</f>
        <v>0</v>
      </c>
      <c r="H16" s="43">
        <v>0</v>
      </c>
      <c r="I16" s="43">
        <f t="shared" si="0"/>
        <v>0</v>
      </c>
      <c r="J16" s="43">
        <v>0</v>
      </c>
      <c r="K16" s="43">
        <f t="shared" si="2"/>
        <v>0</v>
      </c>
      <c r="L16" s="43">
        <f t="shared" si="3"/>
        <v>0</v>
      </c>
      <c r="M16" s="43">
        <f t="shared" si="4"/>
        <v>0</v>
      </c>
      <c r="N16" s="43">
        <f t="shared" si="6"/>
        <v>0</v>
      </c>
      <c r="O16" s="43">
        <f t="shared" si="1"/>
        <v>0</v>
      </c>
      <c r="P16" s="43">
        <f t="shared" si="5"/>
        <v>0</v>
      </c>
      <c r="Q16" s="86"/>
    </row>
    <row r="17" spans="2:17" x14ac:dyDescent="0.2">
      <c r="B17" s="42" t="s">
        <v>23</v>
      </c>
      <c r="C17" s="43">
        <f>SUMIF('Entrada 7TRAN'!$E$8:$E$43,'Reliquidación 7TRAN'!$B17,'Entrada 7TRAN'!F$8:F$43)</f>
        <v>0</v>
      </c>
      <c r="D17" s="43">
        <f>SUMIF('Entrada 7TRAN'!$E$8:$E$43,'Reliquidación 7TRAN'!$B17,'Entrada 7TRAN'!G$8:G$43)</f>
        <v>0</v>
      </c>
      <c r="E17" s="43">
        <f>SUMIF('Entrada 7TRAN'!$E$8:$E$43,'Reliquidación 7TRAN'!$B17,'Entrada 7TRAN'!H$8:H$43)</f>
        <v>0</v>
      </c>
      <c r="F17" s="43">
        <f>SUMIF('Entrada 7TRAN'!$E$8:$E$43,'Reliquidación 7TRAN'!$B17,'Entrada 7TRAN'!I$8:I$43)</f>
        <v>0</v>
      </c>
      <c r="G17" s="43">
        <f>SUMIF('Entrada 7TRAN'!$E$8:$E$43,'Reliquidación 7TRAN'!$B17,'Entrada 7TRAN'!J$8:J$43)</f>
        <v>0</v>
      </c>
      <c r="H17" s="43">
        <v>0</v>
      </c>
      <c r="I17" s="43">
        <f t="shared" si="0"/>
        <v>0</v>
      </c>
      <c r="J17" s="43">
        <v>0</v>
      </c>
      <c r="K17" s="43">
        <f t="shared" si="2"/>
        <v>0</v>
      </c>
      <c r="L17" s="43">
        <f t="shared" si="3"/>
        <v>0</v>
      </c>
      <c r="M17" s="43">
        <f t="shared" si="4"/>
        <v>0</v>
      </c>
      <c r="N17" s="43">
        <f t="shared" si="6"/>
        <v>0</v>
      </c>
      <c r="O17" s="43">
        <f t="shared" si="1"/>
        <v>0</v>
      </c>
      <c r="P17" s="43">
        <f t="shared" si="5"/>
        <v>0</v>
      </c>
      <c r="Q17" s="86"/>
    </row>
    <row r="18" spans="2:17" x14ac:dyDescent="0.2">
      <c r="B18" s="42" t="s">
        <v>24</v>
      </c>
      <c r="C18" s="43">
        <f>SUMIF('Entrada 7TRAN'!$E$8:$E$43,'Reliquidación 7TRAN'!$B18,'Entrada 7TRAN'!F$8:F$43)+SUMIF('Entrada 7TRAN'!$E$8:$E$43,"LUZ ANDES",'Entrada 7TRAN'!F$8:F$43)</f>
        <v>126683080.45100001</v>
      </c>
      <c r="D18" s="43">
        <f>SUMIF('Entrada 7TRAN'!$E$8:$E$43,'Reliquidación 7TRAN'!$B18,'Entrada 7TRAN'!G$8:G$43)+SUMIF('Entrada 7TRAN'!$E$8:$E$43,"LUZ ANDES",'Entrada 7TRAN'!G$8:G$43)</f>
        <v>653485642.92536199</v>
      </c>
      <c r="E18" s="43">
        <f>SUMIF('Entrada 7TRAN'!$E$8:$E$43,'Reliquidación 7TRAN'!$B18,'Entrada 7TRAN'!H$8:H$43)+SUMIF('Entrada 7TRAN'!$E$8:$E$43,"LUZ ANDES",'Entrada 7TRAN'!H$8:H$43)</f>
        <v>1363727.5</v>
      </c>
      <c r="F18" s="43">
        <f>SUMIF('Entrada 7TRAN'!$E$8:$E$43,'Reliquidación 7TRAN'!$B18,'Entrada 7TRAN'!I$8:I$43)+SUMIF('Entrada 7TRAN'!$E$8:$E$43,"LUZ ANDES",'Entrada 7TRAN'!I$8:I$43)</f>
        <v>1685071.2050000001</v>
      </c>
      <c r="G18" s="43">
        <f>SUMIF('Entrada 7TRAN'!$E$8:$E$43,'Reliquidación 7TRAN'!$B18,'Entrada 7TRAN'!J$8:J$43)+SUMIF('Entrada 7TRAN'!$E$8:$E$43,"LUZ ANDES",'Entrada 7TRAN'!J$8:J$43)</f>
        <v>542250384.47072411</v>
      </c>
      <c r="H18" s="43">
        <v>177439599.9708041</v>
      </c>
      <c r="I18" s="43">
        <f t="shared" si="0"/>
        <v>178137788.39115015</v>
      </c>
      <c r="J18" s="43">
        <v>0</v>
      </c>
      <c r="K18" s="43">
        <f t="shared" si="2"/>
        <v>0</v>
      </c>
      <c r="L18" s="43">
        <f t="shared" si="3"/>
        <v>720388172.86187422</v>
      </c>
      <c r="M18" s="43">
        <f t="shared" si="4"/>
        <v>0</v>
      </c>
      <c r="N18" s="43">
        <f t="shared" si="6"/>
        <v>720388172.86187422</v>
      </c>
      <c r="O18" s="43">
        <f t="shared" si="1"/>
        <v>-364154141.58810329</v>
      </c>
      <c r="P18" s="43">
        <f t="shared" si="5"/>
        <v>356234031.27377093</v>
      </c>
      <c r="Q18" s="86"/>
    </row>
    <row r="19" spans="2:17" x14ac:dyDescent="0.2">
      <c r="B19" s="42" t="s">
        <v>26</v>
      </c>
      <c r="C19" s="43">
        <f>SUMIF('Entrada 7TRAN'!$E$8:$E$43,'Reliquidación 7TRAN'!$B19,'Entrada 7TRAN'!F$8:F$43)</f>
        <v>37453496.123000003</v>
      </c>
      <c r="D19" s="43">
        <f>SUMIF('Entrada 7TRAN'!$E$8:$E$43,'Reliquidación 7TRAN'!$B19,'Entrada 7TRAN'!G$8:G$43)</f>
        <v>71144273.245000005</v>
      </c>
      <c r="E19" s="43">
        <f>SUMIF('Entrada 7TRAN'!$E$8:$E$43,'Reliquidación 7TRAN'!$B19,'Entrada 7TRAN'!H$8:H$43)</f>
        <v>780328.14</v>
      </c>
      <c r="F19" s="43">
        <f>SUMIF('Entrada 7TRAN'!$E$8:$E$43,'Reliquidación 7TRAN'!$B19,'Entrada 7TRAN'!I$8:I$43)</f>
        <v>210386.84599999999</v>
      </c>
      <c r="G19" s="43">
        <f>SUMIF('Entrada 7TRAN'!$E$8:$E$43,'Reliquidación 7TRAN'!$B19,'Entrada 7TRAN'!J$8:J$43)</f>
        <v>-86182796.857540324</v>
      </c>
      <c r="H19" s="43">
        <v>0</v>
      </c>
      <c r="I19" s="43">
        <f t="shared" si="0"/>
        <v>0</v>
      </c>
      <c r="J19" s="43">
        <v>0</v>
      </c>
      <c r="K19" s="43">
        <f t="shared" si="2"/>
        <v>0</v>
      </c>
      <c r="L19" s="43">
        <f t="shared" si="3"/>
        <v>-86182796.857540324</v>
      </c>
      <c r="M19" s="43">
        <f t="shared" si="4"/>
        <v>86182796.857540324</v>
      </c>
      <c r="N19" s="43">
        <f t="shared" si="6"/>
        <v>0</v>
      </c>
      <c r="O19" s="43">
        <f t="shared" si="1"/>
        <v>86182796.857540324</v>
      </c>
      <c r="P19" s="43">
        <f t="shared" si="5"/>
        <v>0</v>
      </c>
      <c r="Q19" s="86"/>
    </row>
    <row r="20" spans="2:17" x14ac:dyDescent="0.2">
      <c r="B20" s="42" t="s">
        <v>27</v>
      </c>
      <c r="C20" s="43">
        <f>SUMIF('Entrada 7TRAN'!$E$8:$E$43,'Reliquidación 7TRAN'!$B20,'Entrada 7TRAN'!F$8:F$43)</f>
        <v>2055527.727</v>
      </c>
      <c r="D20" s="43">
        <f>SUMIF('Entrada 7TRAN'!$E$8:$E$43,'Reliquidación 7TRAN'!$B20,'Entrada 7TRAN'!G$8:G$43)</f>
        <v>17009823.287999999</v>
      </c>
      <c r="E20" s="43">
        <f>SUMIF('Entrada 7TRAN'!$E$8:$E$43,'Reliquidación 7TRAN'!$B20,'Entrada 7TRAN'!H$8:H$43)</f>
        <v>0</v>
      </c>
      <c r="F20" s="43">
        <f>SUMIF('Entrada 7TRAN'!$E$8:$E$43,'Reliquidación 7TRAN'!$B20,'Entrada 7TRAN'!I$8:I$43)</f>
        <v>27099.214</v>
      </c>
      <c r="G20" s="43">
        <f>SUMIF('Entrada 7TRAN'!$E$8:$E$43,'Reliquidación 7TRAN'!$B20,'Entrada 7TRAN'!J$8:J$43)</f>
        <v>16104013.61583898</v>
      </c>
      <c r="H20" s="43">
        <v>5810748.7411473244</v>
      </c>
      <c r="I20" s="43">
        <f t="shared" si="0"/>
        <v>5833612.8452440249</v>
      </c>
      <c r="J20" s="43">
        <v>0</v>
      </c>
      <c r="K20" s="43">
        <f t="shared" si="2"/>
        <v>0</v>
      </c>
      <c r="L20" s="43">
        <f t="shared" si="3"/>
        <v>21937626.461083006</v>
      </c>
      <c r="M20" s="43">
        <f t="shared" si="4"/>
        <v>0</v>
      </c>
      <c r="N20" s="43">
        <f t="shared" si="6"/>
        <v>21937626.461083006</v>
      </c>
      <c r="O20" s="43">
        <f t="shared" si="1"/>
        <v>-11089406.841147399</v>
      </c>
      <c r="P20" s="43">
        <f t="shared" si="5"/>
        <v>10848219.619935608</v>
      </c>
      <c r="Q20" s="86"/>
    </row>
    <row r="21" spans="2:17" x14ac:dyDescent="0.2">
      <c r="B21" s="42" t="s">
        <v>28</v>
      </c>
      <c r="C21" s="43">
        <f>SUMIF('Entrada 7TRAN'!$E$8:$E$43,'Reliquidación 7TRAN'!$B21,'Entrada 7TRAN'!F$8:F$43)</f>
        <v>0</v>
      </c>
      <c r="D21" s="43">
        <f>SUMIF('Entrada 7TRAN'!$E$8:$E$43,'Reliquidación 7TRAN'!$B21,'Entrada 7TRAN'!G$8:G$43)</f>
        <v>0</v>
      </c>
      <c r="E21" s="43">
        <f>SUMIF('Entrada 7TRAN'!$E$8:$E$43,'Reliquidación 7TRAN'!$B21,'Entrada 7TRAN'!H$8:H$43)</f>
        <v>0</v>
      </c>
      <c r="F21" s="43">
        <f>SUMIF('Entrada 7TRAN'!$E$8:$E$43,'Reliquidación 7TRAN'!$B21,'Entrada 7TRAN'!I$8:I$43)</f>
        <v>0</v>
      </c>
      <c r="G21" s="43">
        <f>SUMIF('Entrada 7TRAN'!$E$8:$E$43,'Reliquidación 7TRAN'!$B21,'Entrada 7TRAN'!J$8:J$43)</f>
        <v>0</v>
      </c>
      <c r="H21" s="43">
        <v>0</v>
      </c>
      <c r="I21" s="43">
        <f t="shared" si="0"/>
        <v>0</v>
      </c>
      <c r="J21" s="43">
        <v>0</v>
      </c>
      <c r="K21" s="43">
        <f t="shared" si="2"/>
        <v>0</v>
      </c>
      <c r="L21" s="43">
        <f t="shared" si="3"/>
        <v>0</v>
      </c>
      <c r="M21" s="43">
        <f t="shared" si="4"/>
        <v>0</v>
      </c>
      <c r="N21" s="43">
        <f t="shared" si="6"/>
        <v>0</v>
      </c>
      <c r="O21" s="43">
        <f t="shared" si="1"/>
        <v>0</v>
      </c>
      <c r="P21" s="43">
        <f t="shared" si="5"/>
        <v>0</v>
      </c>
      <c r="Q21" s="86"/>
    </row>
    <row r="22" spans="2:17" x14ac:dyDescent="0.2">
      <c r="B22" s="42" t="s">
        <v>29</v>
      </c>
      <c r="C22" s="43">
        <f>SUMIF('Entrada 7TRAN'!$E$8:$E$43,'Reliquidación 7TRAN'!$B22,'Entrada 7TRAN'!F$8:F$43)</f>
        <v>1387239</v>
      </c>
      <c r="D22" s="43">
        <f>SUMIF('Entrada 7TRAN'!$E$8:$E$43,'Reliquidación 7TRAN'!$B22,'Entrada 7TRAN'!G$8:G$43)</f>
        <v>7103391.9000000004</v>
      </c>
      <c r="E22" s="43">
        <f>SUMIF('Entrada 7TRAN'!$E$8:$E$43,'Reliquidación 7TRAN'!$B22,'Entrada 7TRAN'!H$8:H$43)</f>
        <v>378</v>
      </c>
      <c r="F22" s="43">
        <f>SUMIF('Entrada 7TRAN'!$E$8:$E$43,'Reliquidación 7TRAN'!$B22,'Entrada 7TRAN'!I$8:I$43)</f>
        <v>28244</v>
      </c>
      <c r="G22" s="43">
        <f>SUMIF('Entrada 7TRAN'!$E$8:$E$43,'Reliquidación 7TRAN'!$B22,'Entrada 7TRAN'!J$8:J$43)</f>
        <v>5957555.6613557218</v>
      </c>
      <c r="H22" s="43">
        <v>1993154.7652358487</v>
      </c>
      <c r="I22" s="43">
        <f t="shared" si="0"/>
        <v>2000997.4202986092</v>
      </c>
      <c r="J22" s="43">
        <v>0</v>
      </c>
      <c r="K22" s="43">
        <f t="shared" si="2"/>
        <v>0</v>
      </c>
      <c r="L22" s="43">
        <f t="shared" si="3"/>
        <v>7958553.0816543307</v>
      </c>
      <c r="M22" s="43">
        <f t="shared" si="4"/>
        <v>0</v>
      </c>
      <c r="N22" s="43">
        <f t="shared" si="6"/>
        <v>7958553.0816543307</v>
      </c>
      <c r="O22" s="43">
        <f t="shared" si="1"/>
        <v>-4023025.6060698414</v>
      </c>
      <c r="P22" s="43">
        <f t="shared" si="5"/>
        <v>3935527.4755844893</v>
      </c>
      <c r="Q22" s="86"/>
    </row>
    <row r="23" spans="2:17" x14ac:dyDescent="0.2">
      <c r="B23" s="42" t="s">
        <v>30</v>
      </c>
      <c r="C23" s="43">
        <f>SUMIF('Entrada 7TRAN'!$E$8:$E$43,'Reliquidación 7TRAN'!$B23,'Entrada 7TRAN'!F$8:F$43)</f>
        <v>12579642</v>
      </c>
      <c r="D23" s="43">
        <f>SUMIF('Entrada 7TRAN'!$E$8:$E$43,'Reliquidación 7TRAN'!$B23,'Entrada 7TRAN'!G$8:G$43)</f>
        <v>14055928</v>
      </c>
      <c r="E23" s="43">
        <f>SUMIF('Entrada 7TRAN'!$E$8:$E$43,'Reliquidación 7TRAN'!$B23,'Entrada 7TRAN'!H$8:H$43)</f>
        <v>805237</v>
      </c>
      <c r="F23" s="43">
        <f>SUMIF('Entrada 7TRAN'!$E$8:$E$43,'Reliquidación 7TRAN'!$B23,'Entrada 7TRAN'!I$8:I$43)</f>
        <v>160722</v>
      </c>
      <c r="G23" s="43">
        <f>SUMIF('Entrada 7TRAN'!$E$8:$E$43,'Reliquidación 7TRAN'!$B23,'Entrada 7TRAN'!J$8:J$43)</f>
        <v>17552165.100321181</v>
      </c>
      <c r="H23" s="43">
        <v>5568329.559198495</v>
      </c>
      <c r="I23" s="43">
        <f t="shared" si="0"/>
        <v>5590239.7935517207</v>
      </c>
      <c r="J23" s="43">
        <v>0</v>
      </c>
      <c r="K23" s="43">
        <f t="shared" si="2"/>
        <v>0</v>
      </c>
      <c r="L23" s="43">
        <f t="shared" si="3"/>
        <v>23142404.893872902</v>
      </c>
      <c r="M23" s="43">
        <f t="shared" si="4"/>
        <v>0</v>
      </c>
      <c r="N23" s="43">
        <f t="shared" si="6"/>
        <v>23142404.893872902</v>
      </c>
      <c r="O23" s="43">
        <f t="shared" si="1"/>
        <v>-11698418.860672301</v>
      </c>
      <c r="P23" s="43">
        <f t="shared" si="5"/>
        <v>11443986.033200601</v>
      </c>
      <c r="Q23" s="86"/>
    </row>
    <row r="24" spans="2:17" x14ac:dyDescent="0.2">
      <c r="B24" s="42" t="s">
        <v>31</v>
      </c>
      <c r="C24" s="43">
        <f>SUMIF('Entrada 7TRAN'!$E$8:$E$43,'Reliquidación 7TRAN'!$B24,'Entrada 7TRAN'!F$8:F$43)</f>
        <v>1658481</v>
      </c>
      <c r="D24" s="43">
        <f>SUMIF('Entrada 7TRAN'!$E$8:$E$43,'Reliquidación 7TRAN'!$B24,'Entrada 7TRAN'!G$8:G$43)</f>
        <v>13698754</v>
      </c>
      <c r="E24" s="43">
        <f>SUMIF('Entrada 7TRAN'!$E$8:$E$43,'Reliquidación 7TRAN'!$B24,'Entrada 7TRAN'!H$8:H$43)</f>
        <v>1</v>
      </c>
      <c r="F24" s="43">
        <f>SUMIF('Entrada 7TRAN'!$E$8:$E$43,'Reliquidación 7TRAN'!$B24,'Entrada 7TRAN'!I$8:I$43)</f>
        <v>81836</v>
      </c>
      <c r="G24" s="43">
        <f>SUMIF('Entrada 7TRAN'!$E$8:$E$43,'Reliquidación 7TRAN'!$B24,'Entrada 7TRAN'!J$8:J$43)</f>
        <v>10081930.292895179</v>
      </c>
      <c r="H24" s="43">
        <v>3655679.714521097</v>
      </c>
      <c r="I24" s="43">
        <f t="shared" si="0"/>
        <v>3670064.0641566492</v>
      </c>
      <c r="J24" s="43">
        <v>0</v>
      </c>
      <c r="K24" s="43">
        <f t="shared" si="2"/>
        <v>0</v>
      </c>
      <c r="L24" s="43">
        <f t="shared" si="3"/>
        <v>13751994.357051829</v>
      </c>
      <c r="M24" s="43">
        <f t="shared" si="4"/>
        <v>0</v>
      </c>
      <c r="N24" s="43">
        <f t="shared" si="6"/>
        <v>13751994.357051829</v>
      </c>
      <c r="O24" s="43">
        <f t="shared" si="1"/>
        <v>-6951593.4448535759</v>
      </c>
      <c r="P24" s="43">
        <f t="shared" si="5"/>
        <v>6800400.912198253</v>
      </c>
      <c r="Q24" s="86"/>
    </row>
    <row r="25" spans="2:17" x14ac:dyDescent="0.2">
      <c r="B25" s="42" t="s">
        <v>32</v>
      </c>
      <c r="C25" s="43">
        <f>SUMIF('Entrada 7TRAN'!$E$8:$E$43,'Reliquidación 7TRAN'!$B25,'Entrada 7TRAN'!F$8:F$43)</f>
        <v>784466</v>
      </c>
      <c r="D25" s="43">
        <f>SUMIF('Entrada 7TRAN'!$E$8:$E$43,'Reliquidación 7TRAN'!$B25,'Entrada 7TRAN'!G$8:G$43)</f>
        <v>4993205</v>
      </c>
      <c r="E25" s="43">
        <f>SUMIF('Entrada 7TRAN'!$E$8:$E$43,'Reliquidación 7TRAN'!$B25,'Entrada 7TRAN'!H$8:H$43)</f>
        <v>273368</v>
      </c>
      <c r="F25" s="43">
        <f>SUMIF('Entrada 7TRAN'!$E$8:$E$43,'Reliquidación 7TRAN'!$B25,'Entrada 7TRAN'!I$8:I$43)</f>
        <v>41834</v>
      </c>
      <c r="G25" s="43">
        <f>SUMIF('Entrada 7TRAN'!$E$8:$E$43,'Reliquidación 7TRAN'!$B25,'Entrada 7TRAN'!J$8:J$43)</f>
        <v>4282607.8362096921</v>
      </c>
      <c r="H25" s="43">
        <v>1354153.458713308</v>
      </c>
      <c r="I25" s="43">
        <f t="shared" si="0"/>
        <v>1359481.7747397234</v>
      </c>
      <c r="J25" s="43">
        <v>0</v>
      </c>
      <c r="K25" s="43">
        <f t="shared" si="2"/>
        <v>0</v>
      </c>
      <c r="L25" s="43">
        <f t="shared" si="3"/>
        <v>5642089.6109494157</v>
      </c>
      <c r="M25" s="43">
        <f t="shared" si="4"/>
        <v>0</v>
      </c>
      <c r="N25" s="43">
        <f t="shared" si="6"/>
        <v>5642089.6109494157</v>
      </c>
      <c r="O25" s="43">
        <f t="shared" si="1"/>
        <v>-2852060.0093644005</v>
      </c>
      <c r="P25" s="43">
        <f t="shared" si="5"/>
        <v>2790029.6015850152</v>
      </c>
      <c r="Q25" s="86"/>
    </row>
    <row r="26" spans="2:17" x14ac:dyDescent="0.2">
      <c r="B26" s="42" t="s">
        <v>33</v>
      </c>
      <c r="C26" s="43">
        <f>SUMIF('Entrada 7TRAN'!$E$8:$E$43,'Reliquidación 7TRAN'!$B26,'Entrada 7TRAN'!F$8:F$43)</f>
        <v>2279267</v>
      </c>
      <c r="D26" s="43">
        <f>SUMIF('Entrada 7TRAN'!$E$8:$E$43,'Reliquidación 7TRAN'!$B26,'Entrada 7TRAN'!G$8:G$43)</f>
        <v>2372370</v>
      </c>
      <c r="E26" s="43">
        <f>SUMIF('Entrada 7TRAN'!$E$8:$E$43,'Reliquidación 7TRAN'!$B26,'Entrada 7TRAN'!H$8:H$43)</f>
        <v>108079</v>
      </c>
      <c r="F26" s="43">
        <f>SUMIF('Entrada 7TRAN'!$E$8:$E$43,'Reliquidación 7TRAN'!$B26,'Entrada 7TRAN'!I$8:I$43)</f>
        <v>8368</v>
      </c>
      <c r="G26" s="43">
        <f>SUMIF('Entrada 7TRAN'!$E$8:$E$43,'Reliquidación 7TRAN'!$B26,'Entrada 7TRAN'!J$8:J$43)</f>
        <v>3320448.8352283039</v>
      </c>
      <c r="H26" s="43">
        <v>1078405.4927044539</v>
      </c>
      <c r="I26" s="43">
        <f t="shared" si="0"/>
        <v>1082648.7970602331</v>
      </c>
      <c r="J26" s="43">
        <v>0</v>
      </c>
      <c r="K26" s="43">
        <f t="shared" si="2"/>
        <v>0</v>
      </c>
      <c r="L26" s="43">
        <f t="shared" si="3"/>
        <v>4403097.632288537</v>
      </c>
      <c r="M26" s="43">
        <f t="shared" si="4"/>
        <v>0</v>
      </c>
      <c r="N26" s="43">
        <f t="shared" si="6"/>
        <v>4403097.632288537</v>
      </c>
      <c r="O26" s="43">
        <f t="shared" si="1"/>
        <v>-2225753.141177786</v>
      </c>
      <c r="P26" s="43">
        <f t="shared" si="5"/>
        <v>2177344.4911107509</v>
      </c>
      <c r="Q26" s="86"/>
    </row>
    <row r="27" spans="2:17" x14ac:dyDescent="0.2">
      <c r="B27" s="42" t="s">
        <v>34</v>
      </c>
      <c r="C27" s="43">
        <f>SUMIF('Entrada 7TRAN'!$E$8:$E$43,'Reliquidación 7TRAN'!$B27,'Entrada 7TRAN'!F$8:F$43)</f>
        <v>5547113</v>
      </c>
      <c r="D27" s="43">
        <f>SUMIF('Entrada 7TRAN'!$E$8:$E$43,'Reliquidación 7TRAN'!$B27,'Entrada 7TRAN'!G$8:G$43)</f>
        <v>8393589</v>
      </c>
      <c r="E27" s="43">
        <f>SUMIF('Entrada 7TRAN'!$E$8:$E$43,'Reliquidación 7TRAN'!$B27,'Entrada 7TRAN'!H$8:H$43)</f>
        <v>385170</v>
      </c>
      <c r="F27" s="43">
        <f>SUMIF('Entrada 7TRAN'!$E$8:$E$43,'Reliquidación 7TRAN'!$B27,'Entrada 7TRAN'!I$8:I$43)</f>
        <v>97962</v>
      </c>
      <c r="G27" s="43">
        <f>SUMIF('Entrada 7TRAN'!$E$8:$E$43,'Reliquidación 7TRAN'!$B27,'Entrada 7TRAN'!J$8:J$43)</f>
        <v>7724125.1202669507</v>
      </c>
      <c r="H27" s="43">
        <v>2234261.1389824152</v>
      </c>
      <c r="I27" s="43">
        <f t="shared" si="0"/>
        <v>2243052.4981577252</v>
      </c>
      <c r="J27" s="43">
        <v>0</v>
      </c>
      <c r="K27" s="43">
        <f t="shared" si="2"/>
        <v>0</v>
      </c>
      <c r="L27" s="43">
        <f t="shared" si="3"/>
        <v>9967177.6184246764</v>
      </c>
      <c r="M27" s="43">
        <f t="shared" si="4"/>
        <v>0</v>
      </c>
      <c r="N27" s="43">
        <f t="shared" si="6"/>
        <v>9967177.6184246764</v>
      </c>
      <c r="O27" s="43">
        <f t="shared" si="1"/>
        <v>-5038379.5104164258</v>
      </c>
      <c r="P27" s="43">
        <f t="shared" si="5"/>
        <v>4928798.1080082506</v>
      </c>
      <c r="Q27" s="86"/>
    </row>
    <row r="28" spans="2:17" x14ac:dyDescent="0.2">
      <c r="B28" s="42" t="s">
        <v>35</v>
      </c>
      <c r="C28" s="43">
        <f>SUMIF('Entrada 7TRAN'!$E$8:$E$43,'Reliquidación 7TRAN'!$B28,'Entrada 7TRAN'!F$8:F$43)</f>
        <v>20343709.010000002</v>
      </c>
      <c r="D28" s="43">
        <f>SUMIF('Entrada 7TRAN'!$E$8:$E$43,'Reliquidación 7TRAN'!$B28,'Entrada 7TRAN'!G$8:G$43)</f>
        <v>59942717.369999997</v>
      </c>
      <c r="E28" s="43">
        <f>SUMIF('Entrada 7TRAN'!$E$8:$E$43,'Reliquidación 7TRAN'!$B28,'Entrada 7TRAN'!H$8:H$43)</f>
        <v>244851.97099999999</v>
      </c>
      <c r="F28" s="43">
        <f>SUMIF('Entrada 7TRAN'!$E$8:$E$43,'Reliquidación 7TRAN'!$B28,'Entrada 7TRAN'!I$8:I$43)</f>
        <v>182729</v>
      </c>
      <c r="G28" s="43">
        <f>SUMIF('Entrada 7TRAN'!$E$8:$E$43,'Reliquidación 7TRAN'!$B28,'Entrada 7TRAN'!J$8:J$43)</f>
        <v>42935252.623389609</v>
      </c>
      <c r="H28" s="43">
        <v>14009739.720331419</v>
      </c>
      <c r="I28" s="43">
        <f t="shared" si="0"/>
        <v>14064865.171732385</v>
      </c>
      <c r="J28" s="43">
        <v>0</v>
      </c>
      <c r="K28" s="43">
        <f t="shared" si="2"/>
        <v>0</v>
      </c>
      <c r="L28" s="43">
        <f t="shared" si="3"/>
        <v>57000117.795121998</v>
      </c>
      <c r="M28" s="43">
        <f t="shared" si="4"/>
        <v>0</v>
      </c>
      <c r="N28" s="43">
        <f t="shared" si="6"/>
        <v>57000117.795121998</v>
      </c>
      <c r="O28" s="43">
        <f t="shared" si="1"/>
        <v>-28813394.983489402</v>
      </c>
      <c r="P28" s="43">
        <f t="shared" si="5"/>
        <v>28186722.811632596</v>
      </c>
      <c r="Q28" s="86"/>
    </row>
    <row r="29" spans="2:17" x14ac:dyDescent="0.2">
      <c r="B29" s="42" t="s">
        <v>36</v>
      </c>
      <c r="C29" s="43">
        <f>SUMIF('Entrada 7TRAN'!$E$8:$E$43,'Reliquidación 7TRAN'!$B29,'Entrada 7TRAN'!F$8:F$43)</f>
        <v>7232589.8899999997</v>
      </c>
      <c r="D29" s="43">
        <f>SUMIF('Entrada 7TRAN'!$E$8:$E$43,'Reliquidación 7TRAN'!$B29,'Entrada 7TRAN'!G$8:G$43)</f>
        <v>4284916.54</v>
      </c>
      <c r="E29" s="43">
        <f>SUMIF('Entrada 7TRAN'!$E$8:$E$43,'Reliquidación 7TRAN'!$B29,'Entrada 7TRAN'!H$8:H$43)</f>
        <v>221082.74</v>
      </c>
      <c r="F29" s="43">
        <f>SUMIF('Entrada 7TRAN'!$E$8:$E$43,'Reliquidación 7TRAN'!$B29,'Entrada 7TRAN'!I$8:I$43)</f>
        <v>24298</v>
      </c>
      <c r="G29" s="43">
        <f>SUMIF('Entrada 7TRAN'!$E$8:$E$43,'Reliquidación 7TRAN'!$B29,'Entrada 7TRAN'!J$8:J$43)</f>
        <v>8012284.4032089906</v>
      </c>
      <c r="H29" s="43">
        <v>2605614.3612574171</v>
      </c>
      <c r="I29" s="43">
        <f t="shared" si="0"/>
        <v>2615866.9191713021</v>
      </c>
      <c r="J29" s="43">
        <v>0</v>
      </c>
      <c r="K29" s="43">
        <f t="shared" si="2"/>
        <v>0</v>
      </c>
      <c r="L29" s="43">
        <f t="shared" si="3"/>
        <v>10628151.322380293</v>
      </c>
      <c r="M29" s="43">
        <f t="shared" si="4"/>
        <v>0</v>
      </c>
      <c r="N29" s="43">
        <f t="shared" si="6"/>
        <v>10628151.322380293</v>
      </c>
      <c r="O29" s="43">
        <f t="shared" si="1"/>
        <v>-5372499.8095047036</v>
      </c>
      <c r="P29" s="43">
        <f t="shared" si="5"/>
        <v>5255651.5128755895</v>
      </c>
      <c r="Q29" s="86"/>
    </row>
    <row r="30" spans="2:17" x14ac:dyDescent="0.2">
      <c r="B30" s="42" t="s">
        <v>37</v>
      </c>
      <c r="C30" s="43">
        <f>SUMIF('Entrada 7TRAN'!$E$8:$E$43,'Reliquidación 7TRAN'!$B30,'Entrada 7TRAN'!F$8:F$43)</f>
        <v>37963452.560000002</v>
      </c>
      <c r="D30" s="43">
        <f>SUMIF('Entrada 7TRAN'!$E$8:$E$43,'Reliquidación 7TRAN'!$B30,'Entrada 7TRAN'!G$8:G$43)</f>
        <v>92895852.049999997</v>
      </c>
      <c r="E30" s="43">
        <f>SUMIF('Entrada 7TRAN'!$E$8:$E$43,'Reliquidación 7TRAN'!$B30,'Entrada 7TRAN'!H$8:H$43)</f>
        <v>274390.12</v>
      </c>
      <c r="F30" s="43">
        <f>SUMIF('Entrada 7TRAN'!$E$8:$E$43,'Reliquidación 7TRAN'!$B30,'Entrada 7TRAN'!I$8:I$43)</f>
        <v>269443.40000000002</v>
      </c>
      <c r="G30" s="43">
        <f>SUMIF('Entrada 7TRAN'!$E$8:$E$43,'Reliquidación 7TRAN'!$B30,'Entrada 7TRAN'!J$8:J$43)</f>
        <v>88868514.495348424</v>
      </c>
      <c r="H30" s="43">
        <v>29280537.297072843</v>
      </c>
      <c r="I30" s="43">
        <f t="shared" si="0"/>
        <v>29395750.203806687</v>
      </c>
      <c r="J30" s="43">
        <v>0</v>
      </c>
      <c r="K30" s="43">
        <f t="shared" si="2"/>
        <v>0</v>
      </c>
      <c r="L30" s="43">
        <f t="shared" si="3"/>
        <v>118264264.69915511</v>
      </c>
      <c r="M30" s="43">
        <f t="shared" si="4"/>
        <v>0</v>
      </c>
      <c r="N30" s="43">
        <f t="shared" si="6"/>
        <v>118264264.69915511</v>
      </c>
      <c r="O30" s="43">
        <f t="shared" si="1"/>
        <v>-59782244.371086486</v>
      </c>
      <c r="P30" s="43">
        <f t="shared" si="5"/>
        <v>58482020.328068621</v>
      </c>
      <c r="Q30" s="86"/>
    </row>
    <row r="31" spans="2:17" x14ac:dyDescent="0.2">
      <c r="B31" s="42" t="s">
        <v>38</v>
      </c>
      <c r="C31" s="43">
        <f>SUMIF('Entrada 7TRAN'!$E$8:$E$43,'Reliquidación 7TRAN'!$B31,'Entrada 7TRAN'!F$8:F$43)</f>
        <v>2775139</v>
      </c>
      <c r="D31" s="43">
        <f>SUMIF('Entrada 7TRAN'!$E$8:$E$43,'Reliquidación 7TRAN'!$B31,'Entrada 7TRAN'!G$8:G$43)</f>
        <v>3228410</v>
      </c>
      <c r="E31" s="43">
        <f>SUMIF('Entrada 7TRAN'!$E$8:$E$43,'Reliquidación 7TRAN'!$B31,'Entrada 7TRAN'!H$8:H$43)</f>
        <v>34546</v>
      </c>
      <c r="F31" s="43">
        <f>SUMIF('Entrada 7TRAN'!$E$8:$E$43,'Reliquidación 7TRAN'!$B31,'Entrada 7TRAN'!I$8:I$43)</f>
        <v>15593</v>
      </c>
      <c r="G31" s="43">
        <f>SUMIF('Entrada 7TRAN'!$E$8:$E$43,'Reliquidación 7TRAN'!$B31,'Entrada 7TRAN'!J$8:J$43)</f>
        <v>3522007.484430992</v>
      </c>
      <c r="H31" s="43">
        <v>1172657.1630804827</v>
      </c>
      <c r="I31" s="43">
        <f t="shared" si="0"/>
        <v>1177271.3284214402</v>
      </c>
      <c r="J31" s="43">
        <v>0</v>
      </c>
      <c r="K31" s="43">
        <f t="shared" si="2"/>
        <v>0</v>
      </c>
      <c r="L31" s="43">
        <f t="shared" si="3"/>
        <v>4699278.812852432</v>
      </c>
      <c r="M31" s="43">
        <f t="shared" si="4"/>
        <v>0</v>
      </c>
      <c r="N31" s="43">
        <f t="shared" si="6"/>
        <v>4699278.812852432</v>
      </c>
      <c r="O31" s="43">
        <f t="shared" si="1"/>
        <v>-2375471.8728642319</v>
      </c>
      <c r="P31" s="43">
        <f t="shared" si="5"/>
        <v>2323806.9399882001</v>
      </c>
      <c r="Q31" s="86"/>
    </row>
    <row r="32" spans="2:17" x14ac:dyDescent="0.2">
      <c r="B32" s="42" t="s">
        <v>39</v>
      </c>
      <c r="C32" s="43">
        <f>SUMIF('Entrada 7TRAN'!$E$8:$E$43,'Reliquidación 7TRAN'!$B32,'Entrada 7TRAN'!F$8:F$43)</f>
        <v>47169688.200000003</v>
      </c>
      <c r="D32" s="43">
        <f>SUMIF('Entrada 7TRAN'!$E$8:$E$43,'Reliquidación 7TRAN'!$B32,'Entrada 7TRAN'!G$8:G$43)</f>
        <v>129845747.15020999</v>
      </c>
      <c r="E32" s="43">
        <f>SUMIF('Entrada 7TRAN'!$E$8:$E$43,'Reliquidación 7TRAN'!$B32,'Entrada 7TRAN'!H$8:H$43)</f>
        <v>2333169.5</v>
      </c>
      <c r="F32" s="43">
        <f>SUMIF('Entrada 7TRAN'!$E$8:$E$43,'Reliquidación 7TRAN'!$B32,'Entrada 7TRAN'!I$8:I$43)</f>
        <v>871069.2</v>
      </c>
      <c r="G32" s="43">
        <f>SUMIF('Entrada 7TRAN'!$E$8:$E$43,'Reliquidación 7TRAN'!$B32,'Entrada 7TRAN'!J$8:J$43)</f>
        <v>-130019143.52617539</v>
      </c>
      <c r="H32" s="43">
        <v>0</v>
      </c>
      <c r="I32" s="43">
        <f t="shared" si="0"/>
        <v>0</v>
      </c>
      <c r="J32" s="43">
        <v>0</v>
      </c>
      <c r="K32" s="43">
        <f t="shared" si="2"/>
        <v>0</v>
      </c>
      <c r="L32" s="43">
        <f t="shared" si="3"/>
        <v>-130019143.52617539</v>
      </c>
      <c r="M32" s="43">
        <f t="shared" si="4"/>
        <v>130019143.52617539</v>
      </c>
      <c r="N32" s="43">
        <f t="shared" si="6"/>
        <v>0</v>
      </c>
      <c r="O32" s="43">
        <f t="shared" si="1"/>
        <v>130019143.52617539</v>
      </c>
      <c r="P32" s="43">
        <f t="shared" si="5"/>
        <v>0</v>
      </c>
      <c r="Q32" s="86"/>
    </row>
    <row r="33" spans="2:17" x14ac:dyDescent="0.2">
      <c r="B33" s="42" t="s">
        <v>40</v>
      </c>
      <c r="C33" s="43">
        <f>SUMIF('Entrada 7TRAN'!$E$8:$E$43,'Reliquidación 7TRAN'!$B33,'Entrada 7TRAN'!F$8:F$43)</f>
        <v>2024167.1</v>
      </c>
      <c r="D33" s="43">
        <f>SUMIF('Entrada 7TRAN'!$E$8:$E$43,'Reliquidación 7TRAN'!$B33,'Entrada 7TRAN'!G$8:G$43)</f>
        <v>3180908.1</v>
      </c>
      <c r="E33" s="43">
        <f>SUMIF('Entrada 7TRAN'!$E$8:$E$43,'Reliquidación 7TRAN'!$B33,'Entrada 7TRAN'!H$8:H$43)</f>
        <v>43633</v>
      </c>
      <c r="F33" s="43">
        <f>SUMIF('Entrada 7TRAN'!$E$8:$E$43,'Reliquidación 7TRAN'!$B33,'Entrada 7TRAN'!I$8:I$43)</f>
        <v>103787.1</v>
      </c>
      <c r="G33" s="43">
        <f>SUMIF('Entrada 7TRAN'!$E$8:$E$43,'Reliquidación 7TRAN'!$B33,'Entrada 7TRAN'!J$8:J$43)</f>
        <v>3702077.6696197749</v>
      </c>
      <c r="H33" s="43">
        <v>1148873.4244707958</v>
      </c>
      <c r="I33" s="43">
        <f t="shared" si="0"/>
        <v>1153394.0056800682</v>
      </c>
      <c r="J33" s="43">
        <v>0</v>
      </c>
      <c r="K33" s="43">
        <f t="shared" si="2"/>
        <v>0</v>
      </c>
      <c r="L33" s="43">
        <f t="shared" si="3"/>
        <v>4855471.6752998428</v>
      </c>
      <c r="M33" s="43">
        <f t="shared" si="4"/>
        <v>0</v>
      </c>
      <c r="N33" s="43">
        <f t="shared" si="6"/>
        <v>4855471.6752998428</v>
      </c>
      <c r="O33" s="43">
        <f t="shared" si="1"/>
        <v>-2454426.9138954668</v>
      </c>
      <c r="P33" s="43">
        <f t="shared" si="5"/>
        <v>2401044.761404376</v>
      </c>
      <c r="Q33" s="86"/>
    </row>
    <row r="34" spans="2:17" x14ac:dyDescent="0.2">
      <c r="B34" s="42" t="s">
        <v>41</v>
      </c>
      <c r="C34" s="43">
        <f>SUMIF('Entrada 7TRAN'!$E$8:$E$43,'Reliquidación 7TRAN'!$B34,'Entrada 7TRAN'!F$8:F$43)</f>
        <v>1599535.9</v>
      </c>
      <c r="D34" s="43">
        <f>SUMIF('Entrada 7TRAN'!$E$8:$E$43,'Reliquidación 7TRAN'!$B34,'Entrada 7TRAN'!G$8:G$43)</f>
        <v>11659642.3651</v>
      </c>
      <c r="E34" s="43">
        <f>SUMIF('Entrada 7TRAN'!$E$8:$E$43,'Reliquidación 7TRAN'!$B34,'Entrada 7TRAN'!H$8:H$43)</f>
        <v>2846</v>
      </c>
      <c r="F34" s="43">
        <f>SUMIF('Entrada 7TRAN'!$E$8:$E$43,'Reliquidación 7TRAN'!$B34,'Entrada 7TRAN'!I$8:I$43)</f>
        <v>57695</v>
      </c>
      <c r="G34" s="43">
        <f>SUMIF('Entrada 7TRAN'!$E$8:$E$43,'Reliquidación 7TRAN'!$B34,'Entrada 7TRAN'!J$8:J$43)</f>
        <v>9552290.9826780874</v>
      </c>
      <c r="H34" s="43">
        <v>2403413.4884177204</v>
      </c>
      <c r="I34" s="43">
        <f t="shared" si="0"/>
        <v>2412870.4273828263</v>
      </c>
      <c r="J34" s="43">
        <v>0</v>
      </c>
      <c r="K34" s="43">
        <f t="shared" si="2"/>
        <v>0</v>
      </c>
      <c r="L34" s="43">
        <f t="shared" si="3"/>
        <v>11965161.410060914</v>
      </c>
      <c r="M34" s="43">
        <f t="shared" si="4"/>
        <v>0</v>
      </c>
      <c r="N34" s="43">
        <f t="shared" si="6"/>
        <v>11965161.410060914</v>
      </c>
      <c r="O34" s="43">
        <f t="shared" si="1"/>
        <v>-6048354.5488180378</v>
      </c>
      <c r="P34" s="43">
        <f t="shared" si="5"/>
        <v>5916806.8612428764</v>
      </c>
      <c r="Q34" s="86"/>
    </row>
    <row r="35" spans="2:17" x14ac:dyDescent="0.2">
      <c r="B35" s="42" t="s">
        <v>42</v>
      </c>
      <c r="C35" s="43">
        <f>SUMIF('Entrada 7TRAN'!$E$8:$E$43,'Reliquidación 7TRAN'!$B35,'Entrada 7TRAN'!F$8:F$43)</f>
        <v>8000439.7999999998</v>
      </c>
      <c r="D35" s="43">
        <f>SUMIF('Entrada 7TRAN'!$E$8:$E$43,'Reliquidación 7TRAN'!$B35,'Entrada 7TRAN'!G$8:G$43)</f>
        <v>6815829.9396000002</v>
      </c>
      <c r="E35" s="43">
        <f>SUMIF('Entrada 7TRAN'!$E$8:$E$43,'Reliquidación 7TRAN'!$B35,'Entrada 7TRAN'!H$8:H$43)</f>
        <v>335599</v>
      </c>
      <c r="F35" s="43">
        <f>SUMIF('Entrada 7TRAN'!$E$8:$E$43,'Reliquidación 7TRAN'!$B35,'Entrada 7TRAN'!I$8:I$43)</f>
        <v>39272.500200000002</v>
      </c>
      <c r="G35" s="43">
        <f>SUMIF('Entrada 7TRAN'!$E$8:$E$43,'Reliquidación 7TRAN'!$B35,'Entrada 7TRAN'!J$8:J$43)</f>
        <v>8593708.415927425</v>
      </c>
      <c r="H35" s="43">
        <v>2805905.7253589006</v>
      </c>
      <c r="I35" s="43">
        <f t="shared" si="0"/>
        <v>2816946.3886964563</v>
      </c>
      <c r="J35" s="43">
        <v>0</v>
      </c>
      <c r="K35" s="43">
        <f t="shared" si="2"/>
        <v>0</v>
      </c>
      <c r="L35" s="43">
        <f t="shared" si="3"/>
        <v>11410654.804623881</v>
      </c>
      <c r="M35" s="43">
        <f t="shared" si="4"/>
        <v>0</v>
      </c>
      <c r="N35" s="43">
        <f t="shared" si="6"/>
        <v>11410654.804623881</v>
      </c>
      <c r="O35" s="43">
        <f t="shared" si="1"/>
        <v>-5768053.0606555268</v>
      </c>
      <c r="P35" s="43">
        <f t="shared" si="5"/>
        <v>5642601.7439683545</v>
      </c>
      <c r="Q35" s="86"/>
    </row>
    <row r="36" spans="2:17" x14ac:dyDescent="0.2">
      <c r="B36" s="42" t="s">
        <v>43</v>
      </c>
      <c r="C36" s="43">
        <f>SUMIF('Entrada 7TRAN'!$E$8:$E$43,'Reliquidación 7TRAN'!$B36,'Entrada 7TRAN'!F$8:F$43)</f>
        <v>9889670.5999999996</v>
      </c>
      <c r="D36" s="43">
        <f>SUMIF('Entrada 7TRAN'!$E$8:$E$43,'Reliquidación 7TRAN'!$B36,'Entrada 7TRAN'!G$8:G$43)</f>
        <v>5446425.7867000001</v>
      </c>
      <c r="E36" s="43">
        <f>SUMIF('Entrada 7TRAN'!$E$8:$E$43,'Reliquidación 7TRAN'!$B36,'Entrada 7TRAN'!H$8:H$43)</f>
        <v>260291</v>
      </c>
      <c r="F36" s="43">
        <f>SUMIF('Entrada 7TRAN'!$E$8:$E$43,'Reliquidación 7TRAN'!$B36,'Entrada 7TRAN'!I$8:I$43)</f>
        <v>76425</v>
      </c>
      <c r="G36" s="43">
        <f>SUMIF('Entrada 7TRAN'!$E$8:$E$43,'Reliquidación 7TRAN'!$B36,'Entrada 7TRAN'!J$8:J$43)</f>
        <v>9512124.5335869323</v>
      </c>
      <c r="H36" s="43">
        <v>3468691.8008512557</v>
      </c>
      <c r="I36" s="43">
        <f t="shared" si="0"/>
        <v>3482340.3914110973</v>
      </c>
      <c r="J36" s="43">
        <v>0</v>
      </c>
      <c r="K36" s="43">
        <f t="shared" si="2"/>
        <v>0</v>
      </c>
      <c r="L36" s="43">
        <f t="shared" si="3"/>
        <v>12994464.92499803</v>
      </c>
      <c r="M36" s="43">
        <f t="shared" si="4"/>
        <v>0</v>
      </c>
      <c r="N36" s="43">
        <f t="shared" si="6"/>
        <v>12994464.92499803</v>
      </c>
      <c r="O36" s="43">
        <f t="shared" si="1"/>
        <v>-6568664.503972467</v>
      </c>
      <c r="P36" s="43">
        <f t="shared" si="5"/>
        <v>6425800.421025563</v>
      </c>
      <c r="Q36" s="86"/>
    </row>
    <row r="37" spans="2:17" x14ac:dyDescent="0.2">
      <c r="B37" s="42" t="s">
        <v>45</v>
      </c>
      <c r="C37" s="43">
        <f>SUMIF('Entrada 7TRAN'!$E$8:$E$43,'Reliquidación 7TRAN'!$B37,'Entrada 7TRAN'!F$8:F$43)</f>
        <v>631486</v>
      </c>
      <c r="D37" s="43">
        <f>SUMIF('Entrada 7TRAN'!$E$8:$E$43,'Reliquidación 7TRAN'!$B37,'Entrada 7TRAN'!G$8:G$43)</f>
        <v>991478</v>
      </c>
      <c r="E37" s="43">
        <f>SUMIF('Entrada 7TRAN'!$E$8:$E$43,'Reliquidación 7TRAN'!$B37,'Entrada 7TRAN'!H$8:H$43)</f>
        <v>34425</v>
      </c>
      <c r="F37" s="43">
        <f>SUMIF('Entrada 7TRAN'!$E$8:$E$43,'Reliquidación 7TRAN'!$B37,'Entrada 7TRAN'!I$8:I$43)</f>
        <v>12094</v>
      </c>
      <c r="G37" s="43">
        <f>SUMIF('Entrada 7TRAN'!$E$8:$E$43,'Reliquidación 7TRAN'!$B37,'Entrada 7TRAN'!J$8:J$43)</f>
        <v>1124657.454135983</v>
      </c>
      <c r="H37" s="43">
        <v>322938.14215946279</v>
      </c>
      <c r="I37" s="43">
        <f t="shared" si="0"/>
        <v>324208.8374911751</v>
      </c>
      <c r="J37" s="43">
        <v>0</v>
      </c>
      <c r="K37" s="43">
        <f t="shared" si="2"/>
        <v>0</v>
      </c>
      <c r="L37" s="43">
        <f t="shared" si="3"/>
        <v>1448866.2916271582</v>
      </c>
      <c r="M37" s="43">
        <f t="shared" si="4"/>
        <v>0</v>
      </c>
      <c r="N37" s="43">
        <f t="shared" si="6"/>
        <v>1448866.2916271582</v>
      </c>
      <c r="O37" s="43">
        <f t="shared" si="1"/>
        <v>-732397.72747433675</v>
      </c>
      <c r="P37" s="43">
        <f t="shared" si="5"/>
        <v>716468.56415282143</v>
      </c>
      <c r="Q37" s="86"/>
    </row>
    <row r="38" spans="2:17" x14ac:dyDescent="0.2">
      <c r="B38" s="42" t="s">
        <v>46</v>
      </c>
      <c r="C38" s="43">
        <f>SUMIF('Entrada 7TRAN'!$E$8:$E$43,'Reliquidación 7TRAN'!$B38,'Entrada 7TRAN'!F$8:F$43)</f>
        <v>3488306.997</v>
      </c>
      <c r="D38" s="43">
        <f>SUMIF('Entrada 7TRAN'!$E$8:$E$43,'Reliquidación 7TRAN'!$B38,'Entrada 7TRAN'!G$8:G$43)</f>
        <v>17890534.035999998</v>
      </c>
      <c r="E38" s="43">
        <f>SUMIF('Entrada 7TRAN'!$E$8:$E$43,'Reliquidación 7TRAN'!$B38,'Entrada 7TRAN'!H$8:H$43)</f>
        <v>6102</v>
      </c>
      <c r="F38" s="43">
        <f>SUMIF('Entrada 7TRAN'!$E$8:$E$43,'Reliquidación 7TRAN'!$B38,'Entrada 7TRAN'!I$8:I$43)</f>
        <v>25475.017</v>
      </c>
      <c r="G38" s="43">
        <f>SUMIF('Entrada 7TRAN'!$E$8:$E$43,'Reliquidación 7TRAN'!$B38,'Entrada 7TRAN'!J$8:J$43)</f>
        <v>14942658.802570021</v>
      </c>
      <c r="H38" s="43">
        <v>5455682.0495801475</v>
      </c>
      <c r="I38" s="43">
        <f t="shared" si="0"/>
        <v>5477149.0390950777</v>
      </c>
      <c r="J38" s="43">
        <v>0</v>
      </c>
      <c r="K38" s="43">
        <f t="shared" si="2"/>
        <v>0</v>
      </c>
      <c r="L38" s="43">
        <f t="shared" si="3"/>
        <v>20419807.841665097</v>
      </c>
      <c r="M38" s="43">
        <f>IF(L38&lt;0,-L38,0)</f>
        <v>0</v>
      </c>
      <c r="N38" s="43">
        <f>IF(L38&gt;0,L38,0)</f>
        <v>20419807.841665097</v>
      </c>
      <c r="O38" s="43">
        <f t="shared" si="1"/>
        <v>-10322153.911043359</v>
      </c>
      <c r="P38" s="43">
        <f t="shared" si="5"/>
        <v>10097653.930621738</v>
      </c>
      <c r="Q38" s="86"/>
    </row>
    <row r="39" spans="2:17" x14ac:dyDescent="0.2">
      <c r="B39" s="42" t="s">
        <v>47</v>
      </c>
      <c r="C39" s="43">
        <f>SUMIF('Entrada 7TRAN'!$E$8:$E$43,'Reliquidación 7TRAN'!$B39,'Entrada 7TRAN'!F$8:F$43)</f>
        <v>5923962.2429999998</v>
      </c>
      <c r="D39" s="43">
        <f>SUMIF('Entrada 7TRAN'!$E$8:$E$43,'Reliquidación 7TRAN'!$B39,'Entrada 7TRAN'!G$8:G$43)</f>
        <v>26188400.357999999</v>
      </c>
      <c r="E39" s="43">
        <f>SUMIF('Entrada 7TRAN'!$E$8:$E$43,'Reliquidación 7TRAN'!$B39,'Entrada 7TRAN'!H$8:H$43)</f>
        <v>15941.1</v>
      </c>
      <c r="F39" s="43">
        <f>SUMIF('Entrada 7TRAN'!$E$8:$E$43,'Reliquidación 7TRAN'!$B39,'Entrada 7TRAN'!I$8:I$43)</f>
        <v>14894.528</v>
      </c>
      <c r="G39" s="43">
        <f>SUMIF('Entrada 7TRAN'!$E$8:$E$43,'Reliquidación 7TRAN'!$B39,'Entrada 7TRAN'!J$8:J$43)</f>
        <v>20979249.41716193</v>
      </c>
      <c r="H39" s="43">
        <v>7515340.7277770434</v>
      </c>
      <c r="I39" s="43">
        <f t="shared" si="0"/>
        <v>7544912.0516075315</v>
      </c>
      <c r="J39" s="43">
        <v>0</v>
      </c>
      <c r="K39" s="43">
        <f t="shared" si="2"/>
        <v>0</v>
      </c>
      <c r="L39" s="43">
        <f t="shared" si="3"/>
        <v>28524161.468769461</v>
      </c>
      <c r="M39" s="43">
        <f t="shared" si="4"/>
        <v>0</v>
      </c>
      <c r="N39" s="43">
        <f t="shared" si="6"/>
        <v>28524161.468769461</v>
      </c>
      <c r="O39" s="43">
        <f t="shared" si="1"/>
        <v>-14418881.271905355</v>
      </c>
      <c r="P39" s="43">
        <f t="shared" si="5"/>
        <v>14105280.196864106</v>
      </c>
      <c r="Q39" s="86"/>
    </row>
    <row r="40" spans="2:17" x14ac:dyDescent="0.2">
      <c r="B40" s="42" t="s">
        <v>48</v>
      </c>
      <c r="C40" s="43">
        <f>SUMIF('Entrada 7TRAN'!$E$8:$E$43,'Reliquidación 7TRAN'!$B40,'Entrada 7TRAN'!F$8:F$43)</f>
        <v>10363964.34</v>
      </c>
      <c r="D40" s="43">
        <f>SUMIF('Entrada 7TRAN'!$E$8:$E$43,'Reliquidación 7TRAN'!$B40,'Entrada 7TRAN'!G$8:G$43)</f>
        <v>48028105.623999998</v>
      </c>
      <c r="E40" s="43">
        <f>SUMIF('Entrada 7TRAN'!$E$8:$E$43,'Reliquidación 7TRAN'!$B40,'Entrada 7TRAN'!H$8:H$43)</f>
        <v>79292.58</v>
      </c>
      <c r="F40" s="43">
        <f>SUMIF('Entrada 7TRAN'!$E$8:$E$43,'Reliquidación 7TRAN'!$B40,'Entrada 7TRAN'!I$8:I$43)</f>
        <v>73327.173999999999</v>
      </c>
      <c r="G40" s="43">
        <f>SUMIF('Entrada 7TRAN'!$E$8:$E$43,'Reliquidación 7TRAN'!$B40,'Entrada 7TRAN'!J$8:J$43)</f>
        <v>-34499197.92462001</v>
      </c>
      <c r="H40" s="43">
        <v>0</v>
      </c>
      <c r="I40" s="43">
        <f t="shared" si="0"/>
        <v>0</v>
      </c>
      <c r="J40" s="43">
        <v>0</v>
      </c>
      <c r="K40" s="43">
        <f t="shared" si="2"/>
        <v>0</v>
      </c>
      <c r="L40" s="43">
        <f t="shared" si="3"/>
        <v>-34499197.92462001</v>
      </c>
      <c r="M40" s="43">
        <f t="shared" si="4"/>
        <v>34499197.92462001</v>
      </c>
      <c r="N40" s="43">
        <f t="shared" si="6"/>
        <v>0</v>
      </c>
      <c r="O40" s="43">
        <f t="shared" si="1"/>
        <v>34499197.92462001</v>
      </c>
      <c r="P40" s="43">
        <f t="shared" si="5"/>
        <v>0</v>
      </c>
      <c r="Q40" s="86"/>
    </row>
    <row r="41" spans="2:17" x14ac:dyDescent="0.2">
      <c r="B41" s="42" t="s">
        <v>49</v>
      </c>
      <c r="C41" s="43">
        <f>SUMIF('Entrada 7TRAN'!$E$8:$E$43,'Reliquidación 7TRAN'!$B41,'Entrada 7TRAN'!F$8:F$43)</f>
        <v>0</v>
      </c>
      <c r="D41" s="43">
        <f>SUMIF('Entrada 7TRAN'!$E$8:$E$43,'Reliquidación 7TRAN'!$B41,'Entrada 7TRAN'!G$8:G$43)</f>
        <v>0</v>
      </c>
      <c r="E41" s="43">
        <f>SUMIF('Entrada 7TRAN'!$E$8:$E$43,'Reliquidación 7TRAN'!$B41,'Entrada 7TRAN'!H$8:H$43)</f>
        <v>0</v>
      </c>
      <c r="F41" s="43">
        <f>SUMIF('Entrada 7TRAN'!$E$8:$E$43,'Reliquidación 7TRAN'!$B41,'Entrada 7TRAN'!I$8:I$43)</f>
        <v>0</v>
      </c>
      <c r="G41" s="43">
        <f>SUMIF('Entrada 7TRAN'!$E$8:$E$43,'Reliquidación 7TRAN'!$B41,'Entrada 7TRAN'!J$8:J$43)</f>
        <v>0</v>
      </c>
      <c r="H41" s="43">
        <v>0</v>
      </c>
      <c r="I41" s="43">
        <f t="shared" si="0"/>
        <v>0</v>
      </c>
      <c r="J41" s="43">
        <v>0</v>
      </c>
      <c r="K41" s="43">
        <f t="shared" si="2"/>
        <v>0</v>
      </c>
      <c r="L41" s="43">
        <f t="shared" si="3"/>
        <v>0</v>
      </c>
      <c r="M41" s="43">
        <f>IF(L41&lt;0,-L41,0)</f>
        <v>0</v>
      </c>
      <c r="N41" s="43">
        <f>IF(L41&gt;0,L41,0)</f>
        <v>0</v>
      </c>
      <c r="O41" s="43">
        <f t="shared" si="1"/>
        <v>0</v>
      </c>
      <c r="P41" s="43">
        <f>L41+O41</f>
        <v>0</v>
      </c>
      <c r="Q41" s="86"/>
    </row>
    <row r="42" spans="2:17" x14ac:dyDescent="0.2">
      <c r="B42" s="42" t="s">
        <v>50</v>
      </c>
      <c r="C42" s="43">
        <f>SUMIF('Entrada 7TRAN'!$E$8:$E$43,'Reliquidación 7TRAN'!$B42,'Entrada 7TRAN'!F$8:F$43)</f>
        <v>0</v>
      </c>
      <c r="D42" s="43">
        <f>SUMIF('Entrada 7TRAN'!$E$8:$E$43,'Reliquidación 7TRAN'!$B42,'Entrada 7TRAN'!G$8:G$43)</f>
        <v>7680.2999999999993</v>
      </c>
      <c r="E42" s="43">
        <f>SUMIF('Entrada 7TRAN'!$E$8:$E$43,'Reliquidación 7TRAN'!$B42,'Entrada 7TRAN'!H$8:H$43)</f>
        <v>0</v>
      </c>
      <c r="F42" s="43">
        <f>SUMIF('Entrada 7TRAN'!$E$8:$E$43,'Reliquidación 7TRAN'!$B42,'Entrada 7TRAN'!I$8:I$43)</f>
        <v>0</v>
      </c>
      <c r="G42" s="43">
        <f>SUMIF('Entrada 7TRAN'!$E$8:$E$43,'Reliquidación 7TRAN'!$B42,'Entrada 7TRAN'!J$8:J$43)</f>
        <v>8115.4970568209992</v>
      </c>
      <c r="H42" s="43">
        <v>2576.951041391414</v>
      </c>
      <c r="I42" s="43">
        <f t="shared" si="0"/>
        <v>2587.0908150225214</v>
      </c>
      <c r="J42" s="43">
        <v>0</v>
      </c>
      <c r="K42" s="43">
        <f t="shared" si="2"/>
        <v>0</v>
      </c>
      <c r="L42" s="43">
        <f t="shared" si="3"/>
        <v>10702.58787184352</v>
      </c>
      <c r="M42" s="43">
        <f>IF(L42&lt;0,-L42,0)</f>
        <v>0</v>
      </c>
      <c r="N42" s="43">
        <f>IF(L42&gt;0,L42,0)</f>
        <v>10702.58787184352</v>
      </c>
      <c r="O42" s="43">
        <f t="shared" si="1"/>
        <v>-5410.1272703566447</v>
      </c>
      <c r="P42" s="43">
        <f>L42+O42</f>
        <v>5292.460601486875</v>
      </c>
      <c r="Q42" s="86"/>
    </row>
    <row r="43" spans="2:17" x14ac:dyDescent="0.2">
      <c r="B43" s="44" t="s">
        <v>51</v>
      </c>
      <c r="C43" s="45">
        <f>SUMIF('Entrada 7TRAN'!$E$8:$E$43,'Reliquidación 7TRAN'!$B43,'Entrada 7TRAN'!F$8:F$43)</f>
        <v>32785.800000000003</v>
      </c>
      <c r="D43" s="45">
        <f>SUMIF('Entrada 7TRAN'!$E$8:$E$43,'Reliquidación 7TRAN'!$B43,'Entrada 7TRAN'!G$8:G$43)</f>
        <v>63849.399999999987</v>
      </c>
      <c r="E43" s="45">
        <f>SUMIF('Entrada 7TRAN'!$E$8:$E$43,'Reliquidación 7TRAN'!$B43,'Entrada 7TRAN'!H$8:H$43)</f>
        <v>0</v>
      </c>
      <c r="F43" s="45">
        <f>SUMIF('Entrada 7TRAN'!$E$8:$E$43,'Reliquidación 7TRAN'!$B43,'Entrada 7TRAN'!I$8:I$43)</f>
        <v>0</v>
      </c>
      <c r="G43" s="45">
        <f>SUMIF('Entrada 7TRAN'!$E$8:$E$43,'Reliquidación 7TRAN'!$B43,'Entrada 7TRAN'!J$8:J$43)</f>
        <v>-2555848.662296616</v>
      </c>
      <c r="H43" s="45">
        <v>0</v>
      </c>
      <c r="I43" s="45">
        <f t="shared" si="0"/>
        <v>0</v>
      </c>
      <c r="J43" s="45">
        <v>0</v>
      </c>
      <c r="K43" s="45">
        <f t="shared" si="2"/>
        <v>0</v>
      </c>
      <c r="L43" s="45">
        <f t="shared" si="3"/>
        <v>-2555848.662296616</v>
      </c>
      <c r="M43" s="45">
        <f t="shared" si="4"/>
        <v>2555848.662296616</v>
      </c>
      <c r="N43" s="45">
        <f t="shared" si="6"/>
        <v>0</v>
      </c>
      <c r="O43" s="45">
        <f>IF(OR($M$44=0,$N$44=0),0,((M43/$M$44-N43/$N$44)*$N$49))</f>
        <v>2555848.662296616</v>
      </c>
      <c r="P43" s="45">
        <f t="shared" si="5"/>
        <v>0</v>
      </c>
      <c r="Q43" s="86"/>
    </row>
    <row r="44" spans="2:17" x14ac:dyDescent="0.2">
      <c r="B44" s="46" t="s">
        <v>66</v>
      </c>
      <c r="C44" s="16">
        <f t="shared" ref="C44:O44" si="7">SUM(C9:C43)</f>
        <v>550593057.95993447</v>
      </c>
      <c r="D44" s="16">
        <f t="shared" si="7"/>
        <v>1696300991.8939717</v>
      </c>
      <c r="E44" s="16">
        <f t="shared" si="7"/>
        <v>10893095.265000001</v>
      </c>
      <c r="F44" s="16">
        <f t="shared" si="7"/>
        <v>2094804.5562</v>
      </c>
      <c r="G44" s="16">
        <f t="shared" si="7"/>
        <v>276980609.72179204</v>
      </c>
      <c r="H44" s="16">
        <f>SUM(H9:H43)</f>
        <v>277708211.86204559</v>
      </c>
      <c r="I44" s="16">
        <f>SUM(I9:I43)</f>
        <v>278800936.69792771</v>
      </c>
      <c r="J44" s="16">
        <f t="shared" ref="J44:K44" si="8">SUM(J9:J43)</f>
        <v>0</v>
      </c>
      <c r="K44" s="16">
        <f t="shared" si="8"/>
        <v>0</v>
      </c>
      <c r="L44" s="16">
        <f>SUM(L9:L43)</f>
        <v>555781546.41971958</v>
      </c>
      <c r="M44" s="16">
        <f t="shared" si="7"/>
        <v>568138173.72614217</v>
      </c>
      <c r="N44" s="16">
        <f t="shared" si="7"/>
        <v>1123919720.1458619</v>
      </c>
      <c r="O44" s="16">
        <f t="shared" si="7"/>
        <v>-4.5169144868850708E-8</v>
      </c>
      <c r="P44" s="16">
        <f>SUM(P9:P43)</f>
        <v>555781546.41971982</v>
      </c>
    </row>
    <row r="45" spans="2:17" x14ac:dyDescent="0.2">
      <c r="B45" s="50"/>
      <c r="C45"/>
      <c r="D45"/>
      <c r="E45"/>
      <c r="F45"/>
      <c r="G45"/>
      <c r="H45"/>
      <c r="I45"/>
      <c r="J45"/>
      <c r="K45"/>
      <c r="L45"/>
      <c r="M45" s="51"/>
      <c r="N45" s="51"/>
      <c r="O45"/>
    </row>
    <row r="46" spans="2:17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7" x14ac:dyDescent="0.2">
      <c r="B47"/>
      <c r="C47"/>
      <c r="H47" s="58"/>
      <c r="I47" s="17"/>
      <c r="J47" s="17"/>
      <c r="K47" s="17"/>
      <c r="L47" s="17"/>
      <c r="M47" s="7" t="s">
        <v>92</v>
      </c>
      <c r="N47" s="53">
        <f>N44</f>
        <v>1123919720.1458619</v>
      </c>
      <c r="O47"/>
    </row>
    <row r="48" spans="2:17" x14ac:dyDescent="0.2">
      <c r="B48"/>
      <c r="C48"/>
      <c r="H48" s="52"/>
      <c r="I48" s="17"/>
      <c r="J48" s="17"/>
      <c r="K48" s="17"/>
      <c r="L48" s="17"/>
      <c r="M48" s="7" t="s">
        <v>93</v>
      </c>
      <c r="N48" s="53">
        <f>M44</f>
        <v>568138173.72614217</v>
      </c>
      <c r="O48"/>
    </row>
    <row r="49" spans="2:16" x14ac:dyDescent="0.2">
      <c r="B49"/>
      <c r="C49"/>
      <c r="H49" s="52"/>
      <c r="I49"/>
      <c r="J49"/>
      <c r="K49"/>
      <c r="L49"/>
      <c r="M49" s="7" t="s">
        <v>69</v>
      </c>
      <c r="N49" s="53">
        <f>+IF(N48&lt;N47,N48,N47)</f>
        <v>568138173.72614217</v>
      </c>
      <c r="O49"/>
      <c r="P49" s="54"/>
    </row>
    <row r="50" spans="2:16" x14ac:dyDescent="0.2">
      <c r="M50" s="17"/>
      <c r="N50"/>
    </row>
    <row r="51" spans="2:16" x14ac:dyDescent="0.2">
      <c r="G51" s="54"/>
      <c r="H51" s="54"/>
    </row>
    <row r="52" spans="2:16" x14ac:dyDescent="0.2">
      <c r="H52" s="11"/>
    </row>
  </sheetData>
  <dataConsolidate/>
  <mergeCells count="15">
    <mergeCell ref="N6:N7"/>
    <mergeCell ref="O6:O7"/>
    <mergeCell ref="P6:P7"/>
    <mergeCell ref="H6:H7"/>
    <mergeCell ref="I6:I7"/>
    <mergeCell ref="J6:J7"/>
    <mergeCell ref="K6:K7"/>
    <mergeCell ref="L6:L7"/>
    <mergeCell ref="M6:M7"/>
    <mergeCell ref="B6:B8"/>
    <mergeCell ref="C6:C7"/>
    <mergeCell ref="D6:D7"/>
    <mergeCell ref="E6:E7"/>
    <mergeCell ref="F6:F7"/>
    <mergeCell ref="G6:G7"/>
  </mergeCells>
  <pageMargins left="0.75" right="0.75" top="1" bottom="1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CAA38-8F56-4476-87A4-059CA1563215}">
  <sheetPr codeName="Hoja3">
    <tabColor theme="7" tint="0.79998168889431442"/>
  </sheetPr>
  <dimension ref="A2:O91"/>
  <sheetViews>
    <sheetView zoomScale="70" zoomScaleNormal="70" workbookViewId="0"/>
  </sheetViews>
  <sheetFormatPr baseColWidth="10" defaultColWidth="11.42578125" defaultRowHeight="12.75" x14ac:dyDescent="0.2"/>
  <cols>
    <col min="1" max="1" width="9.140625" style="87" customWidth="1"/>
    <col min="2" max="2" width="23.85546875" style="87" customWidth="1"/>
    <col min="3" max="3" width="17" style="87" customWidth="1"/>
    <col min="4" max="5" width="16.140625" style="87" customWidth="1"/>
    <col min="6" max="6" width="20.140625" style="87" customWidth="1"/>
    <col min="7" max="7" width="15.7109375" style="87" customWidth="1"/>
    <col min="8" max="8" width="9.85546875" style="87" customWidth="1"/>
    <col min="9" max="9" width="13.5703125" style="87" customWidth="1"/>
    <col min="10" max="10" width="13.7109375" style="87" customWidth="1"/>
    <col min="11" max="11" width="14" style="87" bestFit="1" customWidth="1"/>
    <col min="12" max="12" width="14.7109375" style="87" customWidth="1"/>
    <col min="13" max="16" width="10.85546875" style="87" customWidth="1"/>
    <col min="17" max="17" width="13.28515625" style="87" bestFit="1" customWidth="1"/>
    <col min="18" max="18" width="15.85546875" style="87" bestFit="1" customWidth="1"/>
    <col min="19" max="19" width="17" style="87" bestFit="1" customWidth="1"/>
    <col min="20" max="20" width="17.85546875" style="87" customWidth="1"/>
    <col min="21" max="16384" width="11.42578125" style="87"/>
  </cols>
  <sheetData>
    <row r="2" spans="1:10" x14ac:dyDescent="0.2">
      <c r="B2" s="88" t="s">
        <v>98</v>
      </c>
      <c r="C2" s="88"/>
      <c r="D2" s="88"/>
      <c r="E2" s="88"/>
      <c r="F2" s="88"/>
      <c r="G2" s="88"/>
      <c r="H2" s="88"/>
      <c r="J2" s="50" t="s">
        <v>95</v>
      </c>
    </row>
    <row r="3" spans="1:10" x14ac:dyDescent="0.2">
      <c r="B3" s="89">
        <f>FechaFacturacion</f>
        <v>45689</v>
      </c>
      <c r="C3" s="90"/>
      <c r="D3" s="90"/>
      <c r="E3" s="90"/>
      <c r="F3" s="90"/>
      <c r="G3" s="90"/>
      <c r="H3" s="90"/>
    </row>
    <row r="6" spans="1:10" ht="12.75" customHeight="1" x14ac:dyDescent="0.2">
      <c r="B6" s="91" t="s">
        <v>6</v>
      </c>
      <c r="C6" s="92" t="s">
        <v>78</v>
      </c>
      <c r="E6" s="91" t="s">
        <v>6</v>
      </c>
      <c r="F6" s="29" t="s">
        <v>79</v>
      </c>
      <c r="G6" s="92" t="s">
        <v>80</v>
      </c>
      <c r="I6" s="91" t="s">
        <v>81</v>
      </c>
      <c r="J6" s="93" cm="1">
        <f t="array" ref="J6">SUMPRODUCT(($G$8:$G$32&gt;0)*($G$8:$G$32))</f>
        <v>531964697.24767512</v>
      </c>
    </row>
    <row r="7" spans="1:10" ht="27" customHeight="1" x14ac:dyDescent="0.2">
      <c r="B7" s="91"/>
      <c r="C7" s="94"/>
      <c r="E7" s="91"/>
      <c r="F7" s="34"/>
      <c r="G7" s="94"/>
      <c r="I7" s="91"/>
      <c r="J7" s="93"/>
    </row>
    <row r="8" spans="1:10" x14ac:dyDescent="0.2">
      <c r="B8" s="95" t="s">
        <v>14</v>
      </c>
      <c r="C8" s="96">
        <f>'Reliquidación 7TRAN'!O9</f>
        <v>-4521792.1530649299</v>
      </c>
      <c r="D8" s="97"/>
      <c r="E8" s="95" t="s">
        <v>14</v>
      </c>
      <c r="F8" s="98">
        <v>-409.40008040415597</v>
      </c>
      <c r="G8" s="98">
        <f>VLOOKUP(E8,$B$8:$C$42,2,0)+F8</f>
        <v>-4522201.5531453341</v>
      </c>
      <c r="H8" s="99"/>
      <c r="J8" s="50"/>
    </row>
    <row r="9" spans="1:10" x14ac:dyDescent="0.2">
      <c r="B9" s="100" t="s">
        <v>15</v>
      </c>
      <c r="C9" s="98">
        <f>'Reliquidación 7TRAN'!O10</f>
        <v>-2558740.4450633246</v>
      </c>
      <c r="D9" s="97"/>
      <c r="E9" s="100" t="s">
        <v>15</v>
      </c>
      <c r="F9" s="98">
        <v>-228.77305161040331</v>
      </c>
      <c r="G9" s="98">
        <f>VLOOKUP(E9,$B$8:$C$42,2,0)+F9</f>
        <v>-2558969.2181149349</v>
      </c>
      <c r="H9" s="99"/>
      <c r="J9" s="50"/>
    </row>
    <row r="10" spans="1:10" x14ac:dyDescent="0.2">
      <c r="B10" s="100" t="s">
        <v>16</v>
      </c>
      <c r="C10" s="98">
        <f>'Reliquidación 7TRAN'!O11</f>
        <v>-8866059.7969941981</v>
      </c>
      <c r="D10" s="97"/>
      <c r="E10" s="100" t="s">
        <v>16</v>
      </c>
      <c r="F10" s="98">
        <v>-2649.4676743431223</v>
      </c>
      <c r="G10" s="98">
        <f>VLOOKUP(E10,$B$8:$C$42,2,0)+F10</f>
        <v>-8868709.264668541</v>
      </c>
      <c r="H10" s="99"/>
      <c r="J10" s="50"/>
    </row>
    <row r="11" spans="1:10" x14ac:dyDescent="0.2">
      <c r="B11" s="100" t="s">
        <v>17</v>
      </c>
      <c r="C11" s="98">
        <f>'Reliquidación 7TRAN'!O12</f>
        <v>-1098092.1030875649</v>
      </c>
      <c r="D11" s="97"/>
      <c r="E11" s="100" t="s">
        <v>17</v>
      </c>
      <c r="F11" s="98">
        <v>-116.97132065643795</v>
      </c>
      <c r="G11" s="98">
        <f>VLOOKUP(E11,$B$8:$C$42,2,0)+F11</f>
        <v>-1098209.0744082213</v>
      </c>
      <c r="H11" s="99"/>
      <c r="I11" s="50"/>
      <c r="J11" s="50"/>
    </row>
    <row r="12" spans="1:10" x14ac:dyDescent="0.2">
      <c r="B12" s="100" t="s">
        <v>18</v>
      </c>
      <c r="C12" s="98">
        <f>'Reliquidación 7TRAN'!O13</f>
        <v>295750213.37640542</v>
      </c>
      <c r="D12" s="97"/>
      <c r="E12" s="100" t="s">
        <v>82</v>
      </c>
      <c r="F12" s="98">
        <v>55722.669776558083</v>
      </c>
      <c r="G12" s="98">
        <f>C12+C13+C14+C15+C16+C18+C19+C20+C37+C38+C39+F12</f>
        <v>399389705.05920315</v>
      </c>
      <c r="H12" s="99"/>
      <c r="I12" s="50"/>
      <c r="J12" s="50"/>
    </row>
    <row r="13" spans="1:10" x14ac:dyDescent="0.2">
      <c r="B13" s="100" t="s">
        <v>20</v>
      </c>
      <c r="C13" s="98">
        <f>'Reliquidación 7TRAN'!O14</f>
        <v>-398757.12414740445</v>
      </c>
      <c r="D13" s="97"/>
      <c r="E13" s="100" t="s">
        <v>83</v>
      </c>
      <c r="F13" s="98">
        <v>-36019.743114118857</v>
      </c>
      <c r="G13" s="98">
        <f>C17+F13</f>
        <v>-364190161.33121741</v>
      </c>
      <c r="H13" s="99"/>
      <c r="I13" s="50"/>
      <c r="J13" s="50"/>
    </row>
    <row r="14" spans="1:10" x14ac:dyDescent="0.2">
      <c r="B14" s="100" t="s">
        <v>21</v>
      </c>
      <c r="C14" s="98">
        <f>'Reliquidación 7TRAN'!O15</f>
        <v>19130973.37910438</v>
      </c>
      <c r="D14" s="97"/>
      <c r="E14" s="100" t="s">
        <v>29</v>
      </c>
      <c r="F14" s="98">
        <v>-491.293867289996</v>
      </c>
      <c r="G14" s="98">
        <f>VLOOKUP(E14,$B$8:$C$42,2,0)+F14</f>
        <v>-4023516.8999371314</v>
      </c>
      <c r="H14" s="99"/>
      <c r="I14" s="50"/>
      <c r="J14" s="50"/>
    </row>
    <row r="15" spans="1:10" x14ac:dyDescent="0.2">
      <c r="B15" s="100" t="s">
        <v>22</v>
      </c>
      <c r="C15" s="98">
        <f>'Reliquidación 7TRAN'!O16</f>
        <v>0</v>
      </c>
      <c r="D15" s="97"/>
      <c r="E15" s="100" t="s">
        <v>30</v>
      </c>
      <c r="F15" s="98">
        <v>-1191.7711167013545</v>
      </c>
      <c r="G15" s="98">
        <f t="shared" ref="G15:G32" si="0">VLOOKUP(E15,$B$8:$C$42,2,0)+F15</f>
        <v>-11699610.631789003</v>
      </c>
      <c r="H15" s="99"/>
      <c r="I15" s="50"/>
      <c r="J15" s="50"/>
    </row>
    <row r="16" spans="1:10" x14ac:dyDescent="0.2">
      <c r="A16" s="50"/>
      <c r="B16" s="100" t="s">
        <v>23</v>
      </c>
      <c r="C16" s="98">
        <f>'Reliquidación 7TRAN'!O17</f>
        <v>0</v>
      </c>
      <c r="D16" s="97"/>
      <c r="E16" s="100" t="s">
        <v>31</v>
      </c>
      <c r="F16" s="98">
        <v>-766.40664726214118</v>
      </c>
      <c r="G16" s="98">
        <f t="shared" si="0"/>
        <v>-6952359.8515008381</v>
      </c>
      <c r="H16" s="99"/>
      <c r="I16" s="50"/>
      <c r="J16" s="50"/>
    </row>
    <row r="17" spans="1:10" x14ac:dyDescent="0.2">
      <c r="B17" s="100" t="s">
        <v>24</v>
      </c>
      <c r="C17" s="98">
        <f>'Reliquidación 7TRAN'!O18</f>
        <v>-364154141.58810329</v>
      </c>
      <c r="D17" s="97"/>
      <c r="E17" s="100" t="s">
        <v>32</v>
      </c>
      <c r="F17" s="98">
        <v>-198.49888109145388</v>
      </c>
      <c r="G17" s="98">
        <f t="shared" si="0"/>
        <v>-2852258.5082454919</v>
      </c>
      <c r="H17" s="99"/>
      <c r="I17" s="50"/>
      <c r="J17" s="50"/>
    </row>
    <row r="18" spans="1:10" x14ac:dyDescent="0.2">
      <c r="B18" s="100" t="s">
        <v>26</v>
      </c>
      <c r="C18" s="98">
        <f>'Reliquidación 7TRAN'!O19</f>
        <v>86182796.857540324</v>
      </c>
      <c r="D18" s="97"/>
      <c r="E18" s="100" t="s">
        <v>33</v>
      </c>
      <c r="F18" s="98">
        <v>-211.84155311231106</v>
      </c>
      <c r="G18" s="98">
        <f t="shared" si="0"/>
        <v>-2225964.9827308985</v>
      </c>
      <c r="H18" s="99"/>
      <c r="I18" s="50"/>
      <c r="J18" s="50"/>
    </row>
    <row r="19" spans="1:10" x14ac:dyDescent="0.2">
      <c r="B19" s="100" t="s">
        <v>27</v>
      </c>
      <c r="C19" s="98">
        <f>'Reliquidación 7TRAN'!O20</f>
        <v>-11089406.841147399</v>
      </c>
      <c r="D19" s="97"/>
      <c r="E19" s="100" t="s">
        <v>34</v>
      </c>
      <c r="F19" s="98">
        <v>-389.82825638770993</v>
      </c>
      <c r="G19" s="98">
        <f t="shared" si="0"/>
        <v>-5038769.338672813</v>
      </c>
      <c r="H19" s="99"/>
      <c r="I19" s="50"/>
      <c r="J19" s="50"/>
    </row>
    <row r="20" spans="1:10" x14ac:dyDescent="0.2">
      <c r="B20" s="100" t="s">
        <v>28</v>
      </c>
      <c r="C20" s="98">
        <f>'Reliquidación 7TRAN'!O21</f>
        <v>0</v>
      </c>
      <c r="D20" s="97"/>
      <c r="E20" s="100" t="s">
        <v>35</v>
      </c>
      <c r="F20" s="98">
        <v>-3170.9653442337972</v>
      </c>
      <c r="G20" s="98">
        <f t="shared" si="0"/>
        <v>-28816565.948833637</v>
      </c>
      <c r="H20" s="99"/>
      <c r="I20" s="50"/>
      <c r="J20" s="50"/>
    </row>
    <row r="21" spans="1:10" x14ac:dyDescent="0.2">
      <c r="B21" s="100" t="s">
        <v>29</v>
      </c>
      <c r="C21" s="98">
        <f>'Reliquidación 7TRAN'!O22</f>
        <v>-4023025.6060698414</v>
      </c>
      <c r="D21" s="97"/>
      <c r="E21" s="100" t="s">
        <v>36</v>
      </c>
      <c r="F21" s="98">
        <v>-709.85216016107154</v>
      </c>
      <c r="G21" s="98">
        <f t="shared" si="0"/>
        <v>-5373209.661664865</v>
      </c>
      <c r="H21" s="99"/>
      <c r="I21" s="50"/>
      <c r="J21" s="50"/>
    </row>
    <row r="22" spans="1:10" x14ac:dyDescent="0.2">
      <c r="B22" s="100" t="s">
        <v>30</v>
      </c>
      <c r="C22" s="98">
        <f>'Reliquidación 7TRAN'!O23</f>
        <v>-11698418.860672301</v>
      </c>
      <c r="D22" s="97"/>
      <c r="E22" s="100" t="s">
        <v>37</v>
      </c>
      <c r="F22" s="98">
        <v>-7189.754274262159</v>
      </c>
      <c r="G22" s="98">
        <f t="shared" si="0"/>
        <v>-59789434.12536075</v>
      </c>
      <c r="H22" s="99"/>
      <c r="I22" s="50"/>
      <c r="J22" s="50"/>
    </row>
    <row r="23" spans="1:10" x14ac:dyDescent="0.2">
      <c r="B23" s="100" t="s">
        <v>31</v>
      </c>
      <c r="C23" s="98">
        <f>'Reliquidación 7TRAN'!O24</f>
        <v>-6951593.4448535759</v>
      </c>
      <c r="D23" s="97"/>
      <c r="E23" s="100" t="s">
        <v>38</v>
      </c>
      <c r="F23" s="98">
        <v>-221.40531633021132</v>
      </c>
      <c r="G23" s="98">
        <f t="shared" si="0"/>
        <v>-2375693.278180562</v>
      </c>
      <c r="H23" s="99"/>
      <c r="I23" s="50"/>
      <c r="J23" s="50"/>
    </row>
    <row r="24" spans="1:10" x14ac:dyDescent="0.2">
      <c r="B24" s="100" t="s">
        <v>32</v>
      </c>
      <c r="C24" s="98">
        <f>'Reliquidación 7TRAN'!O25</f>
        <v>-2852060.0093644005</v>
      </c>
      <c r="D24" s="97"/>
      <c r="E24" s="100" t="s">
        <v>39</v>
      </c>
      <c r="F24" s="98">
        <v>0</v>
      </c>
      <c r="G24" s="98">
        <f t="shared" si="0"/>
        <v>130019143.52617539</v>
      </c>
      <c r="H24" s="99"/>
      <c r="I24" s="50"/>
      <c r="J24" s="50"/>
    </row>
    <row r="25" spans="1:10" x14ac:dyDescent="0.2">
      <c r="B25" s="100" t="s">
        <v>33</v>
      </c>
      <c r="C25" s="98">
        <f>'Reliquidación 7TRAN'!O26</f>
        <v>-2225753.141177786</v>
      </c>
      <c r="D25" s="97"/>
      <c r="E25" s="100" t="s">
        <v>40</v>
      </c>
      <c r="F25" s="98">
        <v>-238.41524887068138</v>
      </c>
      <c r="G25" s="98">
        <f t="shared" si="0"/>
        <v>-2454665.3291443377</v>
      </c>
      <c r="H25" s="99"/>
      <c r="I25" s="50"/>
      <c r="J25" s="50"/>
    </row>
    <row r="26" spans="1:10" x14ac:dyDescent="0.2">
      <c r="B26" s="100" t="s">
        <v>34</v>
      </c>
      <c r="C26" s="98">
        <f>'Reliquidación 7TRAN'!O27</f>
        <v>-5038379.5104164258</v>
      </c>
      <c r="D26" s="97"/>
      <c r="E26" s="100" t="s">
        <v>41</v>
      </c>
      <c r="F26" s="98">
        <v>-463.33031910573817</v>
      </c>
      <c r="G26" s="98">
        <f t="shared" si="0"/>
        <v>-6048817.8791371435</v>
      </c>
      <c r="H26" s="99"/>
      <c r="I26" s="50"/>
      <c r="J26" s="50"/>
    </row>
    <row r="27" spans="1:10" x14ac:dyDescent="0.2">
      <c r="B27" s="100" t="s">
        <v>35</v>
      </c>
      <c r="C27" s="98">
        <f>'Reliquidación 7TRAN'!O28</f>
        <v>-28813394.983489402</v>
      </c>
      <c r="D27" s="97"/>
      <c r="E27" s="100" t="s">
        <v>42</v>
      </c>
      <c r="F27" s="98">
        <v>-519.92726705230587</v>
      </c>
      <c r="G27" s="98">
        <f t="shared" si="0"/>
        <v>-5768572.9879225791</v>
      </c>
      <c r="H27" s="99"/>
      <c r="I27" s="50"/>
      <c r="J27" s="50"/>
    </row>
    <row r="28" spans="1:10" x14ac:dyDescent="0.2">
      <c r="B28" s="100" t="s">
        <v>36</v>
      </c>
      <c r="C28" s="98">
        <f>'Reliquidación 7TRAN'!O29</f>
        <v>-5372499.8095047036</v>
      </c>
      <c r="D28" s="97"/>
      <c r="E28" s="100" t="s">
        <v>43</v>
      </c>
      <c r="F28" s="98">
        <v>-468.3925639044765</v>
      </c>
      <c r="G28" s="98">
        <f t="shared" si="0"/>
        <v>-6569132.8965363717</v>
      </c>
      <c r="H28" s="99"/>
      <c r="I28" s="50"/>
      <c r="J28" s="50"/>
    </row>
    <row r="29" spans="1:10" x14ac:dyDescent="0.2">
      <c r="A29" s="50"/>
      <c r="B29" s="100" t="s">
        <v>37</v>
      </c>
      <c r="C29" s="98">
        <f>'Reliquidación 7TRAN'!O30</f>
        <v>-59782244.371086486</v>
      </c>
      <c r="D29" s="97"/>
      <c r="E29" s="100" t="s">
        <v>45</v>
      </c>
      <c r="F29" s="98">
        <v>-65.928569059542113</v>
      </c>
      <c r="G29" s="98">
        <f t="shared" si="0"/>
        <v>-732463.65604339633</v>
      </c>
      <c r="H29" s="99"/>
      <c r="I29" s="50"/>
      <c r="J29" s="50"/>
    </row>
    <row r="30" spans="1:10" x14ac:dyDescent="0.2">
      <c r="B30" s="100" t="s">
        <v>38</v>
      </c>
      <c r="C30" s="98">
        <f>'Reliquidación 7TRAN'!O31</f>
        <v>-2375471.8728642319</v>
      </c>
      <c r="D30" s="97"/>
      <c r="E30" s="100" t="s">
        <v>49</v>
      </c>
      <c r="F30" s="98">
        <v>0</v>
      </c>
      <c r="G30" s="98">
        <f t="shared" si="0"/>
        <v>0</v>
      </c>
      <c r="H30" s="99"/>
      <c r="I30" s="50"/>
      <c r="J30" s="50"/>
    </row>
    <row r="31" spans="1:10" x14ac:dyDescent="0.2">
      <c r="A31" s="50"/>
      <c r="B31" s="100" t="s">
        <v>39</v>
      </c>
      <c r="C31" s="98">
        <f>'Reliquidación 7TRAN'!O32</f>
        <v>130019143.52617539</v>
      </c>
      <c r="D31" s="97"/>
      <c r="E31" s="42" t="s">
        <v>50</v>
      </c>
      <c r="F31" s="98">
        <v>-0.70315060016226982</v>
      </c>
      <c r="G31" s="98">
        <f t="shared" si="0"/>
        <v>-5410.8304209568068</v>
      </c>
      <c r="H31" s="99"/>
      <c r="I31" s="50"/>
      <c r="J31" s="50"/>
    </row>
    <row r="32" spans="1:10" x14ac:dyDescent="0.2">
      <c r="A32" s="50"/>
      <c r="B32" s="100" t="s">
        <v>40</v>
      </c>
      <c r="C32" s="98">
        <f>'Reliquidación 7TRAN'!O33</f>
        <v>-2454426.9138954668</v>
      </c>
      <c r="D32" s="97"/>
      <c r="E32" s="101" t="s">
        <v>51</v>
      </c>
      <c r="F32" s="98">
        <v>0</v>
      </c>
      <c r="G32" s="98">
        <f t="shared" si="0"/>
        <v>2555848.662296616</v>
      </c>
      <c r="H32" s="97"/>
      <c r="I32" s="50"/>
      <c r="J32" s="50"/>
    </row>
    <row r="33" spans="1:15" x14ac:dyDescent="0.2">
      <c r="A33" s="50"/>
      <c r="B33" s="100" t="s">
        <v>41</v>
      </c>
      <c r="C33" s="98">
        <f>'Reliquidación 7TRAN'!O34</f>
        <v>-6048354.5488180378</v>
      </c>
      <c r="D33" s="97"/>
      <c r="E33" s="102" t="s">
        <v>66</v>
      </c>
      <c r="F33" s="103">
        <f>SUM(F7:F32)</f>
        <v>-1.1008749467578127E-11</v>
      </c>
      <c r="G33" s="103">
        <f>SUM(G8:G32)</f>
        <v>-3.9581209421157837E-8</v>
      </c>
      <c r="H33" s="104"/>
      <c r="I33" s="50"/>
      <c r="J33" s="50"/>
    </row>
    <row r="34" spans="1:15" x14ac:dyDescent="0.2">
      <c r="B34" s="100" t="s">
        <v>42</v>
      </c>
      <c r="C34" s="98">
        <f>'Reliquidación 7TRAN'!O35</f>
        <v>-5768053.0606555268</v>
      </c>
      <c r="D34" s="97"/>
      <c r="E34" s="97"/>
      <c r="F34" s="105"/>
      <c r="G34" s="106"/>
      <c r="H34" s="104"/>
      <c r="I34" s="50"/>
      <c r="J34" s="50"/>
    </row>
    <row r="35" spans="1:15" x14ac:dyDescent="0.2">
      <c r="A35" s="50"/>
      <c r="B35" s="100" t="s">
        <v>43</v>
      </c>
      <c r="C35" s="98">
        <f>'Reliquidación 7TRAN'!O36</f>
        <v>-6568664.503972467</v>
      </c>
      <c r="D35" s="97"/>
      <c r="E35" s="97"/>
      <c r="F35" s="67" t="s">
        <v>99</v>
      </c>
      <c r="G35" s="106"/>
      <c r="H35" s="104"/>
      <c r="I35" s="50"/>
      <c r="J35" s="50"/>
    </row>
    <row r="36" spans="1:15" x14ac:dyDescent="0.2">
      <c r="A36" s="50"/>
      <c r="B36" s="100" t="s">
        <v>45</v>
      </c>
      <c r="C36" s="98">
        <f>'Reliquidación 7TRAN'!O37</f>
        <v>-732397.72747433675</v>
      </c>
      <c r="D36" s="97"/>
      <c r="E36" s="97"/>
      <c r="F36" s="105"/>
      <c r="G36" s="106"/>
      <c r="H36" s="104"/>
      <c r="I36" s="50"/>
      <c r="J36" s="50"/>
    </row>
    <row r="37" spans="1:15" x14ac:dyDescent="0.2">
      <c r="B37" s="100" t="s">
        <v>46</v>
      </c>
      <c r="C37" s="98">
        <f>'Reliquidación 7TRAN'!O38</f>
        <v>-10322153.911043359</v>
      </c>
      <c r="D37" s="97"/>
      <c r="E37" s="97"/>
      <c r="F37" s="105"/>
      <c r="G37" s="106"/>
      <c r="H37" s="104"/>
      <c r="I37" s="50"/>
      <c r="J37" s="50"/>
    </row>
    <row r="38" spans="1:15" x14ac:dyDescent="0.2">
      <c r="B38" s="100" t="s">
        <v>47</v>
      </c>
      <c r="C38" s="98">
        <f>'Reliquidación 7TRAN'!O39</f>
        <v>-14418881.271905355</v>
      </c>
      <c r="D38" s="97"/>
      <c r="E38" s="97"/>
      <c r="F38" s="105"/>
      <c r="G38" s="106"/>
      <c r="H38" s="104"/>
      <c r="I38" s="50"/>
      <c r="J38" s="50"/>
    </row>
    <row r="39" spans="1:15" x14ac:dyDescent="0.2">
      <c r="B39" s="100" t="s">
        <v>48</v>
      </c>
      <c r="C39" s="98">
        <f>'Reliquidación 7TRAN'!O40</f>
        <v>34499197.92462001</v>
      </c>
      <c r="D39" s="97"/>
      <c r="E39" s="97"/>
      <c r="F39" s="105"/>
      <c r="G39" s="106"/>
      <c r="H39" s="104"/>
      <c r="I39" s="50"/>
      <c r="J39" s="50"/>
    </row>
    <row r="40" spans="1:15" x14ac:dyDescent="0.2">
      <c r="B40" s="100" t="s">
        <v>49</v>
      </c>
      <c r="C40" s="98">
        <f>'Reliquidación 7TRAN'!O41</f>
        <v>0</v>
      </c>
      <c r="D40" s="97"/>
      <c r="E40" s="97"/>
      <c r="F40" s="105"/>
      <c r="G40" s="106"/>
      <c r="H40" s="104"/>
      <c r="I40" s="50"/>
      <c r="J40" s="50"/>
    </row>
    <row r="41" spans="1:15" x14ac:dyDescent="0.2">
      <c r="B41" s="42" t="s">
        <v>50</v>
      </c>
      <c r="C41" s="98">
        <f>'Reliquidación 7TRAN'!O42</f>
        <v>-5410.1272703566447</v>
      </c>
      <c r="D41" s="97"/>
      <c r="E41" s="97"/>
      <c r="F41" s="105"/>
      <c r="G41" s="106"/>
      <c r="H41" s="104"/>
      <c r="I41" s="50"/>
      <c r="J41" s="50"/>
    </row>
    <row r="42" spans="1:15" x14ac:dyDescent="0.2">
      <c r="B42" s="101" t="s">
        <v>51</v>
      </c>
      <c r="C42" s="107">
        <f>'Reliquidación 7TRAN'!O43</f>
        <v>2555848.662296616</v>
      </c>
      <c r="D42" s="97"/>
      <c r="E42" s="97"/>
      <c r="F42" s="105"/>
      <c r="G42" s="106"/>
      <c r="H42" s="104"/>
      <c r="I42" s="50"/>
      <c r="J42" s="50"/>
    </row>
    <row r="43" spans="1:15" x14ac:dyDescent="0.2">
      <c r="B43" s="102" t="s">
        <v>66</v>
      </c>
      <c r="C43" s="103">
        <f>SUM(C8:C42)</f>
        <v>-4.5169144868850708E-8</v>
      </c>
      <c r="D43" s="108"/>
      <c r="E43" s="108"/>
      <c r="F43" s="50"/>
      <c r="H43" s="104"/>
      <c r="I43" s="50"/>
      <c r="J43" s="50"/>
    </row>
    <row r="44" spans="1:15" x14ac:dyDescent="0.2">
      <c r="B44" s="105"/>
      <c r="C44" s="109"/>
      <c r="F44" s="50"/>
      <c r="H44" s="50"/>
      <c r="I44" s="50"/>
    </row>
    <row r="45" spans="1:15" x14ac:dyDescent="0.2">
      <c r="B45" s="105"/>
      <c r="C45" s="109"/>
      <c r="D45" s="109"/>
      <c r="E45" s="109"/>
      <c r="H45" s="50"/>
    </row>
    <row r="46" spans="1:15" x14ac:dyDescent="0.2">
      <c r="B46" s="50"/>
      <c r="C46" s="50"/>
      <c r="D46" s="50"/>
      <c r="E46" s="50"/>
      <c r="F46" s="106"/>
      <c r="G46" s="50"/>
      <c r="H46" s="50"/>
      <c r="I46" s="50"/>
      <c r="J46" s="50"/>
    </row>
    <row r="47" spans="1:15" x14ac:dyDescent="0.2">
      <c r="B47" s="110" t="s">
        <v>85</v>
      </c>
      <c r="C47" s="50"/>
      <c r="D47" s="50"/>
      <c r="E47" s="50"/>
      <c r="F47" s="50"/>
      <c r="G47" s="50"/>
      <c r="H47" s="50"/>
      <c r="I47" s="50"/>
      <c r="J47" s="50"/>
      <c r="L47" s="50"/>
      <c r="M47" s="50"/>
      <c r="N47" s="50"/>
      <c r="O47" s="50"/>
    </row>
    <row r="48" spans="1:15" x14ac:dyDescent="0.2">
      <c r="B48" s="50"/>
      <c r="C48" s="50"/>
      <c r="D48" s="50"/>
      <c r="E48" s="50"/>
      <c r="F48" s="106"/>
      <c r="G48" s="50"/>
      <c r="H48" s="50"/>
      <c r="I48" s="50"/>
      <c r="J48" s="50"/>
      <c r="K48" s="50"/>
    </row>
    <row r="49" spans="2:6" x14ac:dyDescent="0.2">
      <c r="B49" s="111" t="s">
        <v>86</v>
      </c>
      <c r="C49" s="112" t="s">
        <v>87</v>
      </c>
      <c r="D49" s="113"/>
      <c r="E49" s="122"/>
      <c r="F49" s="123" t="s">
        <v>52</v>
      </c>
    </row>
    <row r="50" spans="2:6" x14ac:dyDescent="0.2">
      <c r="B50" s="115"/>
      <c r="C50" s="48" t="s">
        <v>82</v>
      </c>
      <c r="D50" s="49" t="s">
        <v>39</v>
      </c>
      <c r="E50" s="124" t="s">
        <v>51</v>
      </c>
      <c r="F50" s="125"/>
    </row>
    <row r="51" spans="2:6" ht="12" customHeight="1" x14ac:dyDescent="0.2">
      <c r="B51" s="79" t="s">
        <v>14</v>
      </c>
      <c r="C51" s="117" cm="1">
        <f t="array" ref="C51">(VLOOKUP($B51,$E$8:$G$32,3,0)*(-(VLOOKUP(C$50,$E$8:$G$32,3,0))))/SUMPRODUCT(($G$8:$G$32&gt;0)*($G$8:$G$32))</f>
        <v>3395189.1053553908</v>
      </c>
      <c r="D51" s="117" cm="1">
        <f t="array" ref="D51">(VLOOKUP($B51,$E$8:$G$32,3,0)*(-(VLOOKUP(D$50,$E$8:$G$32,3,0))))/SUMPRODUCT(($G$8:$G$32&gt;0)*($G$8:$G$32))</f>
        <v>1105285.3240728206</v>
      </c>
      <c r="E51" s="117" cm="1">
        <f t="array" ref="E51">(VLOOKUP($B51,$E$8:$G$32,3,0)*(-(VLOOKUP(E$50,$E$8:$G$32,3,0))))/SUMPRODUCT(($G$8:$G$32&gt;0)*($G$8:$G$32))</f>
        <v>21727.123717123119</v>
      </c>
      <c r="F51" s="118">
        <f t="shared" ref="F51:F72" si="1">SUM(C51:E51)</f>
        <v>4522201.5531453341</v>
      </c>
    </row>
    <row r="52" spans="2:6" x14ac:dyDescent="0.2">
      <c r="B52" s="78" t="s">
        <v>15</v>
      </c>
      <c r="C52" s="117" cm="1">
        <f t="array" ref="C52">(VLOOKUP($B52,$E$8:$G$32,3,0)*(-(VLOOKUP(C$50,$E$8:$G$32,3,0))))/SUMPRODUCT(($G$8:$G$32&gt;0)*($G$8:$G$32))</f>
        <v>1921228.920953495</v>
      </c>
      <c r="D52" s="117" cm="1">
        <f t="array" ref="D52">(VLOOKUP($B52,$E$8:$G$32,3,0)*(-(VLOOKUP(D$50,$E$8:$G$32,3,0))))/SUMPRODUCT(($G$8:$G$32&gt;0)*($G$8:$G$32))</f>
        <v>625445.61278329196</v>
      </c>
      <c r="E52" s="117" cm="1">
        <f t="array" ref="E52">(VLOOKUP($B52,$E$8:$G$32,3,0)*(-(VLOOKUP(E$50,$E$8:$G$32,3,0))))/SUMPRODUCT(($G$8:$G$32&gt;0)*($G$8:$G$32))</f>
        <v>12294.684378148097</v>
      </c>
      <c r="F52" s="118">
        <f t="shared" si="1"/>
        <v>2558969.2181149349</v>
      </c>
    </row>
    <row r="53" spans="2:6" x14ac:dyDescent="0.2">
      <c r="B53" s="79" t="s">
        <v>16</v>
      </c>
      <c r="C53" s="117" cm="1">
        <f t="array" ref="C53">(VLOOKUP($B53,$E$8:$G$32,3,0)*(-(VLOOKUP(C$50,$E$8:$G$32,3,0))))/SUMPRODUCT(($G$8:$G$32&gt;0)*($G$8:$G$32))</f>
        <v>6658470.3755682744</v>
      </c>
      <c r="D53" s="117" cm="1">
        <f t="array" ref="D53">(VLOOKUP($B53,$E$8:$G$32,3,0)*(-(VLOOKUP(D$50,$E$8:$G$32,3,0))))/SUMPRODUCT(($G$8:$G$32&gt;0)*($G$8:$G$32))</f>
        <v>2167628.7707452751</v>
      </c>
      <c r="E53" s="117" cm="1">
        <f t="array" ref="E53">(VLOOKUP($B53,$E$8:$G$32,3,0)*(-(VLOOKUP(E$50,$E$8:$G$32,3,0))))/SUMPRODUCT(($G$8:$G$32&gt;0)*($G$8:$G$32))</f>
        <v>42610.118354991573</v>
      </c>
      <c r="F53" s="118">
        <f t="shared" si="1"/>
        <v>8868709.264668541</v>
      </c>
    </row>
    <row r="54" spans="2:6" x14ac:dyDescent="0.2">
      <c r="B54" s="79" t="s">
        <v>17</v>
      </c>
      <c r="C54" s="117" cm="1">
        <f t="array" ref="C54">(VLOOKUP($B54,$E$8:$G$32,3,0)*(-(VLOOKUP(C$50,$E$8:$G$32,3,0))))/SUMPRODUCT(($G$8:$G$32&gt;0)*($G$8:$G$32))</f>
        <v>824515.98873116181</v>
      </c>
      <c r="D54" s="117" cm="1">
        <f t="array" ref="D54">(VLOOKUP($B54,$E$8:$G$32,3,0)*(-(VLOOKUP(D$50,$E$8:$G$32,3,0))))/SUMPRODUCT(($G$8:$G$32&gt;0)*($G$8:$G$32))</f>
        <v>268416.69006609026</v>
      </c>
      <c r="E54" s="117" cm="1">
        <f t="array" ref="E54">(VLOOKUP($B54,$E$8:$G$32,3,0)*(-(VLOOKUP(E$50,$E$8:$G$32,3,0))))/SUMPRODUCT(($G$8:$G$32&gt;0)*($G$8:$G$32))</f>
        <v>5276.3956109693227</v>
      </c>
      <c r="F54" s="118">
        <f t="shared" si="1"/>
        <v>1098209.0744082213</v>
      </c>
    </row>
    <row r="55" spans="2:6" x14ac:dyDescent="0.2">
      <c r="B55" s="79" t="s">
        <v>83</v>
      </c>
      <c r="C55" s="117" cm="1">
        <f t="array" ref="C55">(VLOOKUP($B55,$E$8:$G$32,3,0)*(-(VLOOKUP(C$50,$E$8:$G$32,3,0))))/SUMPRODUCT(($G$8:$G$32&gt;0)*($G$8:$G$32))</f>
        <v>273427544.8579576</v>
      </c>
      <c r="D55" s="117" cm="1">
        <f t="array" ref="D55">(VLOOKUP($B55,$E$8:$G$32,3,0)*(-(VLOOKUP(D$50,$E$8:$G$32,3,0))))/SUMPRODUCT(($G$8:$G$32&gt;0)*($G$8:$G$32))</f>
        <v>89012848.224584833</v>
      </c>
      <c r="E55" s="117" cm="1">
        <f t="array" ref="E55">(VLOOKUP($B55,$E$8:$G$32,3,0)*(-(VLOOKUP(E$50,$E$8:$G$32,3,0))))/SUMPRODUCT(($G$8:$G$32&gt;0)*($G$8:$G$32))</f>
        <v>1749768.2486749806</v>
      </c>
      <c r="F55" s="118">
        <f t="shared" si="1"/>
        <v>364190161.33121741</v>
      </c>
    </row>
    <row r="56" spans="2:6" x14ac:dyDescent="0.2">
      <c r="B56" s="79" t="s">
        <v>29</v>
      </c>
      <c r="C56" s="117" cm="1">
        <f t="array" ref="C56">(VLOOKUP($B56,$E$8:$G$32,3,0)*(-(VLOOKUP(C$50,$E$8:$G$32,3,0))))/SUMPRODUCT(($G$8:$G$32&gt;0)*($G$8:$G$32))</f>
        <v>3020785.4699396282</v>
      </c>
      <c r="D56" s="117" cm="1">
        <f t="array" ref="D56">(VLOOKUP($B56,$E$8:$G$32,3,0)*(-(VLOOKUP(D$50,$E$8:$G$32,3,0))))/SUMPRODUCT(($G$8:$G$32&gt;0)*($G$8:$G$32))</f>
        <v>983400.25945246965</v>
      </c>
      <c r="E56" s="117" cm="1">
        <f t="array" ref="E56">(VLOOKUP($B56,$E$8:$G$32,3,0)*(-(VLOOKUP(E$50,$E$8:$G$32,3,0))))/SUMPRODUCT(($G$8:$G$32&gt;0)*($G$8:$G$32))</f>
        <v>19331.170545033921</v>
      </c>
      <c r="F56" s="118">
        <f t="shared" si="1"/>
        <v>4023516.8999371319</v>
      </c>
    </row>
    <row r="57" spans="2:6" x14ac:dyDescent="0.2">
      <c r="B57" s="79" t="s">
        <v>30</v>
      </c>
      <c r="C57" s="117" cm="1">
        <f t="array" ref="C57">(VLOOKUP($B57,$E$8:$G$32,3,0)*(-(VLOOKUP(C$50,$E$8:$G$32,3,0))))/SUMPRODUCT(($G$8:$G$32&gt;0)*($G$8:$G$32))</f>
        <v>8783861.1541588511</v>
      </c>
      <c r="D57" s="117" cm="1">
        <f t="array" ref="D57">(VLOOKUP($B57,$E$8:$G$32,3,0)*(-(VLOOKUP(D$50,$E$8:$G$32,3,0))))/SUMPRODUCT(($G$8:$G$32&gt;0)*($G$8:$G$32))</f>
        <v>2859538.1644784324</v>
      </c>
      <c r="E57" s="117" cm="1">
        <f t="array" ref="E57">(VLOOKUP($B57,$E$8:$G$32,3,0)*(-(VLOOKUP(E$50,$E$8:$G$32,3,0))))/SUMPRODUCT(($G$8:$G$32&gt;0)*($G$8:$G$32))</f>
        <v>56211.313151720373</v>
      </c>
      <c r="F57" s="118">
        <f t="shared" si="1"/>
        <v>11699610.631789004</v>
      </c>
    </row>
    <row r="58" spans="2:6" x14ac:dyDescent="0.2">
      <c r="B58" s="79" t="s">
        <v>31</v>
      </c>
      <c r="C58" s="117" cm="1">
        <f t="array" ref="C58">(VLOOKUP($B58,$E$8:$G$32,3,0)*(-(VLOOKUP(C$50,$E$8:$G$32,3,0))))/SUMPRODUCT(($G$8:$G$32&gt;0)*($G$8:$G$32))</f>
        <v>5219709.0613770047</v>
      </c>
      <c r="D58" s="117" cm="1">
        <f t="array" ref="D58">(VLOOKUP($B58,$E$8:$G$32,3,0)*(-(VLOOKUP(D$50,$E$8:$G$32,3,0))))/SUMPRODUCT(($G$8:$G$32&gt;0)*($G$8:$G$32))</f>
        <v>1699247.8599703873</v>
      </c>
      <c r="E58" s="117" cm="1">
        <f t="array" ref="E58">(VLOOKUP($B58,$E$8:$G$32,3,0)*(-(VLOOKUP(E$50,$E$8:$G$32,3,0))))/SUMPRODUCT(($G$8:$G$32&gt;0)*($G$8:$G$32))</f>
        <v>33402.930153445959</v>
      </c>
      <c r="F58" s="118">
        <f t="shared" si="1"/>
        <v>6952359.8515008381</v>
      </c>
    </row>
    <row r="59" spans="2:6" x14ac:dyDescent="0.2">
      <c r="B59" s="79" t="s">
        <v>32</v>
      </c>
      <c r="C59" s="117" cm="1">
        <f t="array" ref="C59">(VLOOKUP($B59,$E$8:$G$32,3,0)*(-(VLOOKUP(C$50,$E$8:$G$32,3,0))))/SUMPRODUCT(($G$8:$G$32&gt;0)*($G$8:$G$32))</f>
        <v>2141425.3431753423</v>
      </c>
      <c r="D59" s="117" cm="1">
        <f t="array" ref="D59">(VLOOKUP($B59,$E$8:$G$32,3,0)*(-(VLOOKUP(D$50,$E$8:$G$32,3,0))))/SUMPRODUCT(($G$8:$G$32&gt;0)*($G$8:$G$32))</f>
        <v>697129.35891432653</v>
      </c>
      <c r="E59" s="117" cm="1">
        <f t="array" ref="E59">(VLOOKUP($B59,$E$8:$G$32,3,0)*(-(VLOOKUP(E$50,$E$8:$G$32,3,0))))/SUMPRODUCT(($G$8:$G$32&gt;0)*($G$8:$G$32))</f>
        <v>13703.806155823326</v>
      </c>
      <c r="F59" s="118">
        <f t="shared" si="1"/>
        <v>2852258.5082454919</v>
      </c>
    </row>
    <row r="60" spans="2:6" x14ac:dyDescent="0.2">
      <c r="B60" s="79" t="s">
        <v>33</v>
      </c>
      <c r="C60" s="117" cm="1">
        <f t="array" ref="C60">(VLOOKUP($B60,$E$8:$G$32,3,0)*(-(VLOOKUP(C$50,$E$8:$G$32,3,0))))/SUMPRODUCT(($G$8:$G$32&gt;0)*($G$8:$G$32))</f>
        <v>1671215.2188382705</v>
      </c>
      <c r="D60" s="117" cm="1">
        <f t="array" ref="D60">(VLOOKUP($B60,$E$8:$G$32,3,0)*(-(VLOOKUP(D$50,$E$8:$G$32,3,0))))/SUMPRODUCT(($G$8:$G$32&gt;0)*($G$8:$G$32))</f>
        <v>544055.01355887973</v>
      </c>
      <c r="E60" s="117" cm="1">
        <f t="array" ref="E60">(VLOOKUP($B60,$E$8:$G$32,3,0)*(-(VLOOKUP(E$50,$E$8:$G$32,3,0))))/SUMPRODUCT(($G$8:$G$32&gt;0)*($G$8:$G$32))</f>
        <v>10694.750333748281</v>
      </c>
      <c r="F60" s="118">
        <f t="shared" si="1"/>
        <v>2225964.9827308985</v>
      </c>
    </row>
    <row r="61" spans="2:6" x14ac:dyDescent="0.2">
      <c r="B61" s="79" t="s">
        <v>34</v>
      </c>
      <c r="C61" s="117" cm="1">
        <f t="array" ref="C61">(VLOOKUP($B61,$E$8:$G$32,3,0)*(-(VLOOKUP(C$50,$E$8:$G$32,3,0))))/SUMPRODUCT(($G$8:$G$32&gt;0)*($G$8:$G$32))</f>
        <v>3783019.0808638027</v>
      </c>
      <c r="D61" s="117" cm="1">
        <f t="array" ref="D61">(VLOOKUP($B61,$E$8:$G$32,3,0)*(-(VLOOKUP(D$50,$E$8:$G$32,3,0))))/SUMPRODUCT(($G$8:$G$32&gt;0)*($G$8:$G$32))</f>
        <v>1231541.2605945359</v>
      </c>
      <c r="E61" s="117" cm="1">
        <f t="array" ref="E61">(VLOOKUP($B61,$E$8:$G$32,3,0)*(-(VLOOKUP(E$50,$E$8:$G$32,3,0))))/SUMPRODUCT(($G$8:$G$32&gt;0)*($G$8:$G$32))</f>
        <v>24208.997214475206</v>
      </c>
      <c r="F61" s="118">
        <f t="shared" si="1"/>
        <v>5038769.338672814</v>
      </c>
    </row>
    <row r="62" spans="2:6" x14ac:dyDescent="0.2">
      <c r="B62" s="79" t="s">
        <v>35</v>
      </c>
      <c r="C62" s="117" cm="1">
        <f t="array" ref="C62">(VLOOKUP($B62,$E$8:$G$32,3,0)*(-(VLOOKUP(C$50,$E$8:$G$32,3,0))))/SUMPRODUCT(($G$8:$G$32&gt;0)*($G$8:$G$32))</f>
        <v>21634969.077215474</v>
      </c>
      <c r="D62" s="117" cm="1">
        <f t="array" ref="D62">(VLOOKUP($B62,$E$8:$G$32,3,0)*(-(VLOOKUP(D$50,$E$8:$G$32,3,0))))/SUMPRODUCT(($G$8:$G$32&gt;0)*($G$8:$G$32))</f>
        <v>7043146.3655726146</v>
      </c>
      <c r="E62" s="117" cm="1">
        <f t="array" ref="E62">(VLOOKUP($B62,$E$8:$G$32,3,0)*(-(VLOOKUP(E$50,$E$8:$G$32,3,0))))/SUMPRODUCT(($G$8:$G$32&gt;0)*($G$8:$G$32))</f>
        <v>138450.50604555049</v>
      </c>
      <c r="F62" s="118">
        <f t="shared" si="1"/>
        <v>28816565.948833637</v>
      </c>
    </row>
    <row r="63" spans="2:6" x14ac:dyDescent="0.2">
      <c r="B63" s="79" t="s">
        <v>36</v>
      </c>
      <c r="C63" s="117" cm="1">
        <f t="array" ref="C63">(VLOOKUP($B63,$E$8:$G$32,3,0)*(-(VLOOKUP(C$50,$E$8:$G$32,3,0))))/SUMPRODUCT(($G$8:$G$32&gt;0)*($G$8:$G$32))</f>
        <v>4034110.9722069437</v>
      </c>
      <c r="D63" s="117" cm="1">
        <f t="array" ref="D63">(VLOOKUP($B63,$E$8:$G$32,3,0)*(-(VLOOKUP(D$50,$E$8:$G$32,3,0))))/SUMPRODUCT(($G$8:$G$32&gt;0)*($G$8:$G$32))</f>
        <v>1313282.858450603</v>
      </c>
      <c r="E63" s="117" cm="1">
        <f t="array" ref="E63">(VLOOKUP($B63,$E$8:$G$32,3,0)*(-(VLOOKUP(E$50,$E$8:$G$32,3,0))))/SUMPRODUCT(($G$8:$G$32&gt;0)*($G$8:$G$32))</f>
        <v>25815.831007318629</v>
      </c>
      <c r="F63" s="118">
        <f t="shared" si="1"/>
        <v>5373209.661664865</v>
      </c>
    </row>
    <row r="64" spans="2:6" x14ac:dyDescent="0.2">
      <c r="B64" s="79" t="s">
        <v>37</v>
      </c>
      <c r="C64" s="117" cm="1">
        <f t="array" ref="C64">(VLOOKUP($B64,$E$8:$G$32,3,0)*(-(VLOOKUP(C$50,$E$8:$G$32,3,0))))/SUMPRODUCT(($G$8:$G$32&gt;0)*($G$8:$G$32))</f>
        <v>44888851.806394652</v>
      </c>
      <c r="D64" s="117" cm="1">
        <f t="array" ref="D64">(VLOOKUP($B64,$E$8:$G$32,3,0)*(-(VLOOKUP(D$50,$E$8:$G$32,3,0))))/SUMPRODUCT(($G$8:$G$32&gt;0)*($G$8:$G$32))</f>
        <v>14613321.254426649</v>
      </c>
      <c r="E64" s="117" cm="1">
        <f t="array" ref="E64">(VLOOKUP($B64,$E$8:$G$32,3,0)*(-(VLOOKUP(E$50,$E$8:$G$32,3,0))))/SUMPRODUCT(($G$8:$G$32&gt;0)*($G$8:$G$32))</f>
        <v>287261.06453945284</v>
      </c>
      <c r="F64" s="118">
        <f t="shared" si="1"/>
        <v>59789434.125360757</v>
      </c>
    </row>
    <row r="65" spans="2:11" x14ac:dyDescent="0.2">
      <c r="B65" s="79" t="s">
        <v>38</v>
      </c>
      <c r="C65" s="117" cm="1">
        <f t="array" ref="C65">(VLOOKUP($B65,$E$8:$G$32,3,0)*(-(VLOOKUP(C$50,$E$8:$G$32,3,0))))/SUMPRODUCT(($G$8:$G$32&gt;0)*($G$8:$G$32))</f>
        <v>1783628.5802287096</v>
      </c>
      <c r="D65" s="117" cm="1">
        <f t="array" ref="D65">(VLOOKUP($B65,$E$8:$G$32,3,0)*(-(VLOOKUP(D$50,$E$8:$G$32,3,0))))/SUMPRODUCT(($G$8:$G$32&gt;0)*($G$8:$G$32))</f>
        <v>580650.57119028317</v>
      </c>
      <c r="E65" s="117" cm="1">
        <f t="array" ref="E65">(VLOOKUP($B65,$E$8:$G$32,3,0)*(-(VLOOKUP(E$50,$E$8:$G$32,3,0))))/SUMPRODUCT(($G$8:$G$32&gt;0)*($G$8:$G$32))</f>
        <v>11414.126761569398</v>
      </c>
      <c r="F65" s="118">
        <f t="shared" si="1"/>
        <v>2375693.278180562</v>
      </c>
    </row>
    <row r="66" spans="2:11" x14ac:dyDescent="0.2">
      <c r="B66" s="79" t="s">
        <v>40</v>
      </c>
      <c r="C66" s="117" cm="1">
        <f t="array" ref="C66">(VLOOKUP($B66,$E$8:$G$32,3,0)*(-(VLOOKUP(C$50,$E$8:$G$32,3,0))))/SUMPRODUCT(($G$8:$G$32&gt;0)*($G$8:$G$32))</f>
        <v>1842919.4021677035</v>
      </c>
      <c r="D66" s="117" cm="1">
        <f t="array" ref="D66">(VLOOKUP($B66,$E$8:$G$32,3,0)*(-(VLOOKUP(D$50,$E$8:$G$32,3,0))))/SUMPRODUCT(($G$8:$G$32&gt;0)*($G$8:$G$32))</f>
        <v>599952.37539259286</v>
      </c>
      <c r="E66" s="117" cm="1">
        <f t="array" ref="E66">(VLOOKUP($B66,$E$8:$G$32,3,0)*(-(VLOOKUP(E$50,$E$8:$G$32,3,0))))/SUMPRODUCT(($G$8:$G$32&gt;0)*($G$8:$G$32))</f>
        <v>11793.55158404143</v>
      </c>
      <c r="F66" s="118">
        <f t="shared" si="1"/>
        <v>2454665.3291443377</v>
      </c>
    </row>
    <row r="67" spans="2:11" x14ac:dyDescent="0.2">
      <c r="B67" s="79" t="s">
        <v>41</v>
      </c>
      <c r="C67" s="117" cm="1">
        <f t="array" ref="C67">(VLOOKUP($B67,$E$8:$G$32,3,0)*(-(VLOOKUP(C$50,$E$8:$G$32,3,0))))/SUMPRODUCT(($G$8:$G$32&gt;0)*($G$8:$G$32))</f>
        <v>4541345.6968191257</v>
      </c>
      <c r="D67" s="117" cm="1">
        <f t="array" ref="D67">(VLOOKUP($B67,$E$8:$G$32,3,0)*(-(VLOOKUP(D$50,$E$8:$G$32,3,0))))/SUMPRODUCT(($G$8:$G$32&gt;0)*($G$8:$G$32))</f>
        <v>1478410.3608008083</v>
      </c>
      <c r="E67" s="117" cm="1">
        <f t="array" ref="E67">(VLOOKUP($B67,$E$8:$G$32,3,0)*(-(VLOOKUP(E$50,$E$8:$G$32,3,0))))/SUMPRODUCT(($G$8:$G$32&gt;0)*($G$8:$G$32))</f>
        <v>29061.821517209875</v>
      </c>
      <c r="F67" s="118">
        <f t="shared" si="1"/>
        <v>6048817.8791371435</v>
      </c>
    </row>
    <row r="68" spans="2:11" x14ac:dyDescent="0.2">
      <c r="B68" s="79" t="s">
        <v>42</v>
      </c>
      <c r="C68" s="117" cm="1">
        <f t="array" ref="C68">(VLOOKUP($B68,$E$8:$G$32,3,0)*(-(VLOOKUP(C$50,$E$8:$G$32,3,0))))/SUMPRODUCT(($G$8:$G$32&gt;0)*($G$8:$G$32))</f>
        <v>4330942.7790585477</v>
      </c>
      <c r="D68" s="117" cm="1">
        <f t="array" ref="D68">(VLOOKUP($B68,$E$8:$G$32,3,0)*(-(VLOOKUP(D$50,$E$8:$G$32,3,0))))/SUMPRODUCT(($G$8:$G$32&gt;0)*($G$8:$G$32))</f>
        <v>1409914.8367146691</v>
      </c>
      <c r="E68" s="117" cm="1">
        <f t="array" ref="E68">(VLOOKUP($B68,$E$8:$G$32,3,0)*(-(VLOOKUP(E$50,$E$8:$G$32,3,0))))/SUMPRODUCT(($G$8:$G$32&gt;0)*($G$8:$G$32))</f>
        <v>27715.372149362589</v>
      </c>
      <c r="F68" s="118">
        <f t="shared" si="1"/>
        <v>5768572.9879225791</v>
      </c>
    </row>
    <row r="69" spans="2:11" x14ac:dyDescent="0.2">
      <c r="B69" s="79" t="s">
        <v>43</v>
      </c>
      <c r="C69" s="117" cm="1">
        <f t="array" ref="C69">(VLOOKUP($B69,$E$8:$G$32,3,0)*(-(VLOOKUP(C$50,$E$8:$G$32,3,0))))/SUMPRODUCT(($G$8:$G$32&gt;0)*($G$8:$G$32))</f>
        <v>4931989.027874982</v>
      </c>
      <c r="D69" s="117" cm="1">
        <f t="array" ref="D69">(VLOOKUP($B69,$E$8:$G$32,3,0)*(-(VLOOKUP(D$50,$E$8:$G$32,3,0))))/SUMPRODUCT(($G$8:$G$32&gt;0)*($G$8:$G$32))</f>
        <v>1605582.1699003081</v>
      </c>
      <c r="E69" s="117" cm="1">
        <f t="array" ref="E69">(VLOOKUP($B69,$E$8:$G$32,3,0)*(-(VLOOKUP(E$50,$E$8:$G$32,3,0))))/SUMPRODUCT(($G$8:$G$32&gt;0)*($G$8:$G$32))</f>
        <v>31561.698761081756</v>
      </c>
      <c r="F69" s="118">
        <f t="shared" si="1"/>
        <v>6569132.8965363717</v>
      </c>
    </row>
    <row r="70" spans="2:11" x14ac:dyDescent="0.2">
      <c r="B70" s="79" t="s">
        <v>45</v>
      </c>
      <c r="C70" s="117" cm="1">
        <f t="array" ref="C70">(VLOOKUP($B70,$E$8:$G$32,3,0)*(-(VLOOKUP(C$50,$E$8:$G$32,3,0))))/SUMPRODUCT(($G$8:$G$32&gt;0)*($G$8:$G$32))</f>
        <v>549920.78434399562</v>
      </c>
      <c r="D70" s="117" cm="1">
        <f t="array" ref="D70">(VLOOKUP($B70,$E$8:$G$32,3,0)*(-(VLOOKUP(D$50,$E$8:$G$32,3,0))))/SUMPRODUCT(($G$8:$G$32&gt;0)*($G$8:$G$32))</f>
        <v>179023.71664049313</v>
      </c>
      <c r="E70" s="117" cm="1">
        <f t="array" ref="E70">(VLOOKUP($B70,$E$8:$G$32,3,0)*(-(VLOOKUP(E$50,$E$8:$G$32,3,0))))/SUMPRODUCT(($G$8:$G$32&gt;0)*($G$8:$G$32))</f>
        <v>3519.155058907595</v>
      </c>
      <c r="F70" s="118">
        <f t="shared" si="1"/>
        <v>732463.65604339633</v>
      </c>
    </row>
    <row r="71" spans="2:11" x14ac:dyDescent="0.2">
      <c r="B71" s="79" t="s">
        <v>50</v>
      </c>
      <c r="C71" s="117" cm="1">
        <f t="array" ref="C71">(VLOOKUP($B71,$E$8:$G$32,3,0)*(-(VLOOKUP(C$50,$E$8:$G$32,3,0))))/SUMPRODUCT(($G$8:$G$32&gt;0)*($G$8:$G$32))</f>
        <v>4062.3559742445814</v>
      </c>
      <c r="D71" s="117" cm="1">
        <f t="array" ref="D71">(VLOOKUP($B71,$E$8:$G$32,3,0)*(-(VLOOKUP(D$50,$E$8:$G$32,3,0))))/SUMPRODUCT(($G$8:$G$32&gt;0)*($G$8:$G$32))</f>
        <v>1322.4778650501955</v>
      </c>
      <c r="E71" s="117" cm="1">
        <f t="array" ref="E71">(VLOOKUP($B71,$E$8:$G$32,3,0)*(-(VLOOKUP(E$50,$E$8:$G$32,3,0))))/SUMPRODUCT(($G$8:$G$32&gt;0)*($G$8:$G$32))</f>
        <v>25.996581662030071</v>
      </c>
      <c r="F71" s="118">
        <f t="shared" si="1"/>
        <v>5410.8304209568068</v>
      </c>
    </row>
    <row r="72" spans="2:11" x14ac:dyDescent="0.2">
      <c r="B72" s="79" t="s">
        <v>49</v>
      </c>
      <c r="C72" s="117" cm="1">
        <f t="array" ref="C72">(VLOOKUP($B72,$E$8:$G$32,3,0)*(-(VLOOKUP(C$50,$E$8:$G$32,3,0))))/SUMPRODUCT(($G$8:$G$32&gt;0)*($G$8:$G$32))</f>
        <v>0</v>
      </c>
      <c r="D72" s="117" cm="1">
        <f t="array" ref="D72">(VLOOKUP($B72,$E$8:$G$32,3,0)*(-(VLOOKUP(D$50,$E$8:$G$32,3,0))))/SUMPRODUCT(($G$8:$G$32&gt;0)*($G$8:$G$32))</f>
        <v>0</v>
      </c>
      <c r="E72" s="117" cm="1">
        <f t="array" ref="E72">(VLOOKUP($B72,$E$8:$G$32,3,0)*(-(VLOOKUP(E$50,$E$8:$G$32,3,0))))/SUMPRODUCT(($G$8:$G$32&gt;0)*($G$8:$G$32))</f>
        <v>0</v>
      </c>
      <c r="F72" s="118">
        <f t="shared" si="1"/>
        <v>0</v>
      </c>
    </row>
    <row r="73" spans="2:11" x14ac:dyDescent="0.2">
      <c r="B73" s="119" t="s">
        <v>52</v>
      </c>
      <c r="C73" s="120">
        <f>SUM(C51:C72)</f>
        <v>399389705.05920321</v>
      </c>
      <c r="D73" s="120">
        <f>SUM(D51:D72)</f>
        <v>130019143.52617541</v>
      </c>
      <c r="E73" s="120">
        <f>SUM(E51:E72)</f>
        <v>2555848.6622966165</v>
      </c>
      <c r="F73" s="82">
        <f>SUM(F51:F72)</f>
        <v>531964697.2476753</v>
      </c>
    </row>
    <row r="74" spans="2:11" x14ac:dyDescent="0.2">
      <c r="B74" s="50"/>
      <c r="C74" s="106"/>
      <c r="D74" s="106"/>
      <c r="E74" s="106"/>
      <c r="F74" s="106"/>
      <c r="G74" s="106"/>
      <c r="H74" s="106"/>
      <c r="I74" s="106"/>
      <c r="J74" s="106"/>
      <c r="K74" s="17"/>
    </row>
    <row r="75" spans="2:11" x14ac:dyDescent="0.2">
      <c r="B75" s="110"/>
      <c r="C75" s="121"/>
      <c r="D75" s="121"/>
      <c r="E75" s="121"/>
      <c r="F75" s="84">
        <f>-SUMPRODUCT(($G$8:$G$32&lt;0)*($G$8:$G$32))</f>
        <v>531964697.24767518</v>
      </c>
      <c r="H75" s="50"/>
      <c r="I75" s="50"/>
      <c r="J75" s="50"/>
    </row>
    <row r="76" spans="2:11" x14ac:dyDescent="0.2">
      <c r="B76" s="50"/>
      <c r="C76" s="50"/>
      <c r="D76" s="50"/>
      <c r="E76" s="50"/>
      <c r="F76" s="85">
        <f>F73-F75</f>
        <v>0</v>
      </c>
      <c r="H76" s="50"/>
      <c r="I76" s="50"/>
      <c r="J76" s="50"/>
    </row>
    <row r="77" spans="2:11" x14ac:dyDescent="0.2">
      <c r="B77" s="50"/>
      <c r="C77" s="50"/>
      <c r="D77" s="50"/>
      <c r="E77" s="50"/>
      <c r="F77" s="85">
        <f>F73-J6</f>
        <v>0</v>
      </c>
      <c r="H77" s="50"/>
      <c r="I77" s="50"/>
      <c r="J77" s="50"/>
    </row>
    <row r="91" spans="4:7" x14ac:dyDescent="0.2">
      <c r="D91" s="50"/>
      <c r="E91" s="50"/>
      <c r="F91" s="50"/>
      <c r="G91" s="50"/>
    </row>
  </sheetData>
  <mergeCells count="9">
    <mergeCell ref="J6:J7"/>
    <mergeCell ref="B49:B50"/>
    <mergeCell ref="C49:E49"/>
    <mergeCell ref="B6:B7"/>
    <mergeCell ref="C6:C7"/>
    <mergeCell ref="E6:E7"/>
    <mergeCell ref="F6:F7"/>
    <mergeCell ref="G6:G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17</vt:i4>
      </vt:variant>
    </vt:vector>
  </HeadingPairs>
  <TitlesOfParts>
    <vt:vector size="28" baseType="lpstr">
      <vt:lpstr>Entrada AR</vt:lpstr>
      <vt:lpstr>Entrada TD</vt:lpstr>
      <vt:lpstr>Entrada CDRGL</vt:lpstr>
      <vt:lpstr>Entrada 7TRAN</vt:lpstr>
      <vt:lpstr>Reliquidación TD</vt:lpstr>
      <vt:lpstr>Reliquidación AR</vt:lpstr>
      <vt:lpstr>CUADRO DE PAGO AR</vt:lpstr>
      <vt:lpstr>Reliquidación CD RGL</vt:lpstr>
      <vt:lpstr>CUADRO DE PAGO CD RGL</vt:lpstr>
      <vt:lpstr>Reliquidación 7TRAN</vt:lpstr>
      <vt:lpstr>CUADRO DE PAGO 7TRAN</vt:lpstr>
      <vt:lpstr>'Entrada 7TRAN'!DirectorioEntrada</vt:lpstr>
      <vt:lpstr>'Entrada AR'!DirectorioEntrada</vt:lpstr>
      <vt:lpstr>'Entrada CDRGL'!DirectorioEntrada</vt:lpstr>
      <vt:lpstr>'Entrada TD'!DirectorioEntrada</vt:lpstr>
      <vt:lpstr>'Entrada 7TRAN'!FechaFacturacion</vt:lpstr>
      <vt:lpstr>'Entrada AR'!FechaFacturacion</vt:lpstr>
      <vt:lpstr>'Entrada CDRGL'!FechaFacturacion</vt:lpstr>
      <vt:lpstr>'Entrada TD'!FechaFacturacion</vt:lpstr>
      <vt:lpstr>FechaFacturacion</vt:lpstr>
      <vt:lpstr>'Entrada 7TRAN'!Responsable</vt:lpstr>
      <vt:lpstr>'Entrada AR'!Responsable</vt:lpstr>
      <vt:lpstr>'Entrada CDRGL'!Responsable</vt:lpstr>
      <vt:lpstr>'Entrada TD'!Responsable</vt:lpstr>
      <vt:lpstr>'Entrada 7TRAN'!version</vt:lpstr>
      <vt:lpstr>'Entrada AR'!version</vt:lpstr>
      <vt:lpstr>'Entrada CDRGL'!version</vt:lpstr>
      <vt:lpstr>'Entrada TD'!version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Osvaldo  Sanhueza Ramirez</dc:creator>
  <cp:lastModifiedBy>Rubén Osvaldo  Sanhueza Ramirez</cp:lastModifiedBy>
  <dcterms:created xsi:type="dcterms:W3CDTF">2025-03-14T18:36:18Z</dcterms:created>
  <dcterms:modified xsi:type="dcterms:W3CDTF">2025-03-14T18:36:21Z</dcterms:modified>
</cp:coreProperties>
</file>