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Departamento de Análisis Económico\3.1 Stock y Disponibilidad de Combustibles\01 Información de disponibilidad de recursos primarios\"/>
    </mc:Choice>
  </mc:AlternateContent>
  <xr:revisionPtr revIDLastSave="0" documentId="13_ncr:1_{C6F62EF9-2791-4629-BE47-647EECFBB9F0}" xr6:coauthVersionLast="36" xr6:coauthVersionMax="36" xr10:uidLastSave="{00000000-0000-0000-0000-000000000000}"/>
  <bookViews>
    <workbookView xWindow="0" yWindow="0" windowWidth="24720" windowHeight="12225" xr2:uid="{ACDBD22C-4099-4E25-B686-30EF0DCD16C5}"/>
  </bookViews>
  <sheets>
    <sheet name="Notas" sheetId="4" r:id="rId1"/>
    <sheet name="(1) ADP Carbón" sheetId="1" r:id="rId2"/>
    <sheet name="(2) ADP GNL" sheetId="2" r:id="rId3"/>
    <sheet name="(3) Programa Nominaciones GNL" sheetId="5" r:id="rId4"/>
    <sheet name="3.1 GN GM" sheetId="8" r:id="rId5"/>
    <sheet name="3.2 GN Enel" sheetId="9" r:id="rId6"/>
    <sheet name="3.3 GN SGA" sheetId="10" r:id="rId7"/>
    <sheet name="3.4 GN Engie" sheetId="11" r:id="rId8"/>
    <sheet name="(4) Disponibilidad Diesel" sheetId="3" r:id="rId9"/>
    <sheet name="(5) Disponibilidad Biomasa" sheetId="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'3.3 GN SGA'!$A$6:$Z$29</definedName>
    <definedName name="CENTRALES_GNL" localSheetId="4">[3]Aux!$B$16:$B$29</definedName>
    <definedName name="CENTRALES_GNL" localSheetId="5">[5]Aux!$B$16:$B$29</definedName>
    <definedName name="CENTRALES_GNL" localSheetId="6">[7]Aux!$B$16:$B$29</definedName>
    <definedName name="CENTRALES_GNL" localSheetId="7">[10]Aux!$B$16:$B$29</definedName>
    <definedName name="CENTRALES_GNL">[2]Aux!$B$16:$B$29</definedName>
    <definedName name="CENTRALES_LIQUIDO" localSheetId="4">[3]Aux!$B$48:$B$114</definedName>
    <definedName name="CENTRALES_LIQUIDO" localSheetId="5">[5]Aux!$B$48:$B$114</definedName>
    <definedName name="CENTRALES_LIQUIDO" localSheetId="6">[7]Aux!$B$48:$B$114</definedName>
    <definedName name="CENTRALES_LIQUIDO" localSheetId="7">[10]Aux!$B$48:$B$114</definedName>
    <definedName name="CENTRALES_LIQUIDO">[2]Aux!$B$48:$B$114</definedName>
    <definedName name="COMPLEJO_TERMICO" localSheetId="4">[3]Aux!$B$32:$B$45</definedName>
    <definedName name="COMPLEJO_TERMICO" localSheetId="5">[5]Aux!$B$32:$B$45</definedName>
    <definedName name="COMPLEJO_TERMICO" localSheetId="6">[7]Aux!$B$32:$B$45</definedName>
    <definedName name="COMPLEJO_TERMICO" localSheetId="7">[10]Aux!$B$32:$B$45</definedName>
    <definedName name="EMPRESA_LIQUIDO" localSheetId="4">[3]Aux!$B$117:$B$162</definedName>
    <definedName name="EMPRESA_LIQUIDO" localSheetId="5">[5]Aux!$B$117:$B$162</definedName>
    <definedName name="EMPRESA_LIQUIDO" localSheetId="6">[7]Aux!$B$117:$B$162</definedName>
    <definedName name="EMPRESA_LIQUIDO" localSheetId="7">[10]Aux!$B$117:$B$162</definedName>
    <definedName name="EMPRESA_LIQUIDO">[2]Aux!$B$117:$B$162</definedName>
    <definedName name="EMPRESAS_GNL" localSheetId="4">[3]Aux!$B$3:$B$13</definedName>
    <definedName name="EMPRESAS_GNL" localSheetId="5">[5]Aux!$B$3:$B$13</definedName>
    <definedName name="EMPRESAS_GNL" localSheetId="6">[7]Aux!$B$3:$B$13</definedName>
    <definedName name="EMPRESAS_GNL" localSheetId="7">[10]Aux!$B$3:$B$13</definedName>
    <definedName name="EMPRESAS_GNL">[2]Aux!$B$3:$B$13</definedName>
    <definedName name="GASODUCTO" localSheetId="5">[4]Aux!$D$3:$D$6</definedName>
    <definedName name="GASODUCTO" localSheetId="6">[6]Aux!$D$3:$D$6</definedName>
    <definedName name="GASODUCTO" localSheetId="7">[9]Aux!$D$3:$D$6</definedName>
    <definedName name="GASODUCTO">[2]Aux!$D$3:$D$6</definedName>
    <definedName name="MODALIDAD" localSheetId="5">[4]Aux!$D$16:$D$18</definedName>
    <definedName name="MODALIDAD" localSheetId="6">[6]Aux!$D$16:$D$18</definedName>
    <definedName name="MODALIDAD" localSheetId="7">[9]Aux!$D$16:$D$18</definedName>
    <definedName name="MODALIDAD">[2]Aux!$D$16:$D$18</definedName>
    <definedName name="TIPO_CARGA" localSheetId="4">[3]Aux!$B$165:$B$166</definedName>
    <definedName name="TIPO_CARGA" localSheetId="5">[5]Aux!$B$165:$B$166</definedName>
    <definedName name="TIPO_CARGA" localSheetId="6">[7]Aux!$B$165:$B$166</definedName>
    <definedName name="TIPO_CARGA" localSheetId="7">[10]Aux!$B$165:$B$166</definedName>
    <definedName name="TIPO_CARGA">[1]Aux!$B$165:$B$168</definedName>
    <definedName name="TIPO_SUMINISTRO" localSheetId="5">[4]Aux!$D$10:$D$11</definedName>
    <definedName name="TIPO_SUMINISTRO" localSheetId="6">[6]Aux!$D$10:$D$11</definedName>
    <definedName name="TIPO_SUMINISTRO" localSheetId="7">[9]Aux!$D$10:$D$11</definedName>
    <definedName name="TIPO_SUMINISTRO">[2]Aux!$D$10:$D$11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11" l="1"/>
  <c r="U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M11" i="11"/>
  <c r="T10" i="11"/>
  <c r="S10" i="11"/>
  <c r="T9" i="11"/>
  <c r="S9" i="11"/>
  <c r="T8" i="11"/>
  <c r="S8" i="11"/>
  <c r="D8" i="11"/>
  <c r="B8" i="11" s="1"/>
  <c r="T7" i="11"/>
  <c r="S7" i="11"/>
  <c r="K7" i="11"/>
  <c r="L7" i="11" s="1"/>
  <c r="K8" i="11" s="1"/>
  <c r="L8" i="11" s="1"/>
  <c r="K9" i="11" s="1"/>
  <c r="L9" i="11" s="1"/>
  <c r="K10" i="11" s="1"/>
  <c r="L10" i="11" s="1"/>
  <c r="C7" i="11"/>
  <c r="B7" i="11"/>
  <c r="S4" i="11"/>
  <c r="K4" i="11"/>
  <c r="B4" i="11"/>
  <c r="C8" i="11" l="1"/>
  <c r="D9" i="11"/>
  <c r="D10" i="11" s="1"/>
  <c r="D11" i="11" s="1"/>
  <c r="B9" i="11" l="1"/>
  <c r="B10" i="11"/>
  <c r="C10" i="11"/>
  <c r="C9" i="11"/>
  <c r="B11" i="11"/>
  <c r="C11" i="11"/>
  <c r="D12" i="11"/>
  <c r="C12" i="11" l="1"/>
  <c r="B12" i="11"/>
  <c r="D13" i="11"/>
  <c r="B13" i="11" l="1"/>
  <c r="D14" i="11"/>
  <c r="C13" i="11"/>
  <c r="D15" i="11" l="1"/>
  <c r="C14" i="11"/>
  <c r="B14" i="11"/>
  <c r="C15" i="11" l="1"/>
  <c r="B15" i="11"/>
  <c r="D16" i="11"/>
  <c r="C16" i="11" l="1"/>
  <c r="B16" i="11"/>
  <c r="D17" i="11"/>
  <c r="B17" i="11" l="1"/>
  <c r="D18" i="11"/>
  <c r="C17" i="11"/>
  <c r="B18" i="11" l="1"/>
  <c r="D19" i="11"/>
  <c r="C18" i="11"/>
  <c r="D20" i="11" l="1"/>
  <c r="C19" i="11"/>
  <c r="B19" i="11"/>
  <c r="D21" i="11" l="1"/>
  <c r="C20" i="11"/>
  <c r="B20" i="11"/>
  <c r="D22" i="11" l="1"/>
  <c r="C21" i="11"/>
  <c r="B21" i="11"/>
  <c r="B22" i="11" l="1"/>
  <c r="D23" i="11"/>
  <c r="C22" i="11"/>
  <c r="D24" i="11" l="1"/>
  <c r="C23" i="11"/>
  <c r="B23" i="11"/>
  <c r="D25" i="11" l="1"/>
  <c r="C24" i="11"/>
  <c r="B24" i="11"/>
  <c r="D26" i="11" l="1"/>
  <c r="C25" i="11"/>
  <c r="B25" i="11"/>
  <c r="B26" i="11" l="1"/>
  <c r="D27" i="11"/>
  <c r="C26" i="11"/>
  <c r="D28" i="11" l="1"/>
  <c r="C27" i="11"/>
  <c r="B27" i="11"/>
  <c r="D29" i="11" l="1"/>
  <c r="C28" i="11"/>
  <c r="B28" i="11"/>
  <c r="D30" i="11" l="1"/>
  <c r="C29" i="11"/>
  <c r="B29" i="11"/>
  <c r="B30" i="11" l="1"/>
  <c r="D31" i="11"/>
  <c r="C30" i="11"/>
  <c r="D32" i="11" l="1"/>
  <c r="C31" i="11"/>
  <c r="B31" i="11"/>
  <c r="D33" i="11" l="1"/>
  <c r="C32" i="11"/>
  <c r="B32" i="11"/>
  <c r="D34" i="11" l="1"/>
  <c r="C33" i="11"/>
  <c r="B33" i="11"/>
  <c r="B34" i="11" l="1"/>
  <c r="D35" i="11"/>
  <c r="C34" i="11"/>
  <c r="D36" i="11" l="1"/>
  <c r="C35" i="11"/>
  <c r="B35" i="11"/>
  <c r="D37" i="11" l="1"/>
  <c r="C36" i="11"/>
  <c r="B36" i="11"/>
  <c r="C37" i="11" l="1"/>
  <c r="B37" i="11"/>
  <c r="E38" i="10" l="1"/>
  <c r="U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M11" i="10"/>
  <c r="T10" i="10"/>
  <c r="S10" i="10"/>
  <c r="T9" i="10"/>
  <c r="S9" i="10"/>
  <c r="T8" i="10"/>
  <c r="S8" i="10"/>
  <c r="D8" i="10"/>
  <c r="D9" i="10" s="1"/>
  <c r="T7" i="10"/>
  <c r="S7" i="10"/>
  <c r="K7" i="10"/>
  <c r="L7" i="10" s="1"/>
  <c r="K8" i="10" s="1"/>
  <c r="L8" i="10" s="1"/>
  <c r="K9" i="10" s="1"/>
  <c r="L9" i="10" s="1"/>
  <c r="K10" i="10" s="1"/>
  <c r="L10" i="10" s="1"/>
  <c r="C7" i="10"/>
  <c r="B7" i="10"/>
  <c r="G5" i="10"/>
  <c r="S4" i="10"/>
  <c r="K4" i="10"/>
  <c r="B4" i="10"/>
  <c r="D10" i="10" l="1"/>
  <c r="C9" i="10"/>
  <c r="B9" i="10"/>
  <c r="B8" i="10"/>
  <c r="C8" i="10"/>
  <c r="B10" i="10" l="1"/>
  <c r="D11" i="10"/>
  <c r="C10" i="10"/>
  <c r="D12" i="10" l="1"/>
  <c r="B11" i="10"/>
  <c r="C11" i="10"/>
  <c r="C12" i="10" l="1"/>
  <c r="D13" i="10"/>
  <c r="B12" i="10"/>
  <c r="C13" i="10" l="1"/>
  <c r="B13" i="10"/>
  <c r="D14" i="10"/>
  <c r="B14" i="10" l="1"/>
  <c r="D15" i="10"/>
  <c r="C14" i="10"/>
  <c r="D16" i="10" l="1"/>
  <c r="B15" i="10"/>
  <c r="C15" i="10"/>
  <c r="C16" i="10" l="1"/>
  <c r="D17" i="10"/>
  <c r="B16" i="10"/>
  <c r="C17" i="10" l="1"/>
  <c r="B17" i="10"/>
  <c r="D18" i="10"/>
  <c r="D19" i="10" l="1"/>
  <c r="C18" i="10"/>
  <c r="B18" i="10"/>
  <c r="D20" i="10" l="1"/>
  <c r="C19" i="10"/>
  <c r="B19" i="10"/>
  <c r="B20" i="10" l="1"/>
  <c r="C20" i="10"/>
  <c r="E38" i="9" l="1"/>
  <c r="U17" i="9"/>
  <c r="T16" i="9"/>
  <c r="S16" i="9"/>
  <c r="T15" i="9"/>
  <c r="S15" i="9"/>
  <c r="T14" i="9"/>
  <c r="S14" i="9"/>
  <c r="T13" i="9"/>
  <c r="S13" i="9"/>
  <c r="T12" i="9"/>
  <c r="S12" i="9"/>
  <c r="T11" i="9"/>
  <c r="S11" i="9"/>
  <c r="M11" i="9"/>
  <c r="T10" i="9"/>
  <c r="S10" i="9"/>
  <c r="T9" i="9"/>
  <c r="S9" i="9"/>
  <c r="T8" i="9"/>
  <c r="S8" i="9"/>
  <c r="D8" i="9"/>
  <c r="B8" i="9" s="1"/>
  <c r="T7" i="9"/>
  <c r="S7" i="9"/>
  <c r="K7" i="9"/>
  <c r="L7" i="9" s="1"/>
  <c r="K8" i="9" s="1"/>
  <c r="L8" i="9" s="1"/>
  <c r="K9" i="9" s="1"/>
  <c r="L9" i="9" s="1"/>
  <c r="K10" i="9" s="1"/>
  <c r="L10" i="9" s="1"/>
  <c r="C7" i="9"/>
  <c r="B7" i="9"/>
  <c r="S4" i="9"/>
  <c r="K4" i="9"/>
  <c r="B4" i="9"/>
  <c r="C8" i="9" l="1"/>
  <c r="D9" i="9"/>
  <c r="D10" i="9" s="1"/>
  <c r="D11" i="9" s="1"/>
  <c r="B9" i="9" l="1"/>
  <c r="B10" i="9"/>
  <c r="C10" i="9"/>
  <c r="C9" i="9"/>
  <c r="D12" i="9"/>
  <c r="B11" i="9"/>
  <c r="C11" i="9"/>
  <c r="C12" i="9" l="1"/>
  <c r="B12" i="9"/>
  <c r="D13" i="9"/>
  <c r="B13" i="9" l="1"/>
  <c r="C13" i="9"/>
  <c r="D14" i="9"/>
  <c r="D15" i="9" l="1"/>
  <c r="B14" i="9"/>
  <c r="C14" i="9"/>
  <c r="C15" i="9" l="1"/>
  <c r="B15" i="9"/>
  <c r="D16" i="9"/>
  <c r="C16" i="9" l="1"/>
  <c r="B16" i="9"/>
  <c r="D17" i="9"/>
  <c r="B17" i="9" l="1"/>
  <c r="D18" i="9"/>
  <c r="C17" i="9"/>
  <c r="B18" i="9" l="1"/>
  <c r="D19" i="9"/>
  <c r="C18" i="9"/>
  <c r="D20" i="9" l="1"/>
  <c r="C19" i="9"/>
  <c r="B19" i="9"/>
  <c r="D21" i="9" l="1"/>
  <c r="C20" i="9"/>
  <c r="B20" i="9"/>
  <c r="D22" i="9" l="1"/>
  <c r="C21" i="9"/>
  <c r="B21" i="9"/>
  <c r="B22" i="9" l="1"/>
  <c r="D23" i="9"/>
  <c r="C22" i="9"/>
  <c r="D24" i="9" l="1"/>
  <c r="C23" i="9"/>
  <c r="B23" i="9"/>
  <c r="D25" i="9" l="1"/>
  <c r="C24" i="9"/>
  <c r="B24" i="9"/>
  <c r="D26" i="9" l="1"/>
  <c r="C25" i="9"/>
  <c r="B25" i="9"/>
  <c r="B26" i="9" l="1"/>
  <c r="D27" i="9"/>
  <c r="C26" i="9"/>
  <c r="D28" i="9" l="1"/>
  <c r="C27" i="9"/>
  <c r="B27" i="9"/>
  <c r="D29" i="9" l="1"/>
  <c r="C28" i="9"/>
  <c r="B28" i="9"/>
  <c r="D30" i="9" l="1"/>
  <c r="C29" i="9"/>
  <c r="B29" i="9"/>
  <c r="B30" i="9" l="1"/>
  <c r="D31" i="9"/>
  <c r="C30" i="9"/>
  <c r="D32" i="9" l="1"/>
  <c r="C31" i="9"/>
  <c r="B31" i="9"/>
  <c r="D33" i="9" l="1"/>
  <c r="C32" i="9"/>
  <c r="B32" i="9"/>
  <c r="D34" i="9" l="1"/>
  <c r="C33" i="9"/>
  <c r="B33" i="9"/>
  <c r="B34" i="9" l="1"/>
  <c r="D35" i="9"/>
  <c r="C34" i="9"/>
  <c r="D36" i="9" l="1"/>
  <c r="C35" i="9"/>
  <c r="B35" i="9"/>
  <c r="D37" i="9" l="1"/>
  <c r="C36" i="9"/>
  <c r="B36" i="9"/>
  <c r="C37" i="9" l="1"/>
  <c r="B37" i="9"/>
  <c r="E38" i="8" l="1"/>
  <c r="T16" i="8"/>
  <c r="S16" i="8"/>
  <c r="T15" i="8"/>
  <c r="S15" i="8"/>
  <c r="T14" i="8"/>
  <c r="S14" i="8"/>
  <c r="T13" i="8"/>
  <c r="S13" i="8"/>
  <c r="T12" i="8"/>
  <c r="S12" i="8"/>
  <c r="T11" i="8"/>
  <c r="S11" i="8"/>
  <c r="T10" i="8"/>
  <c r="S10" i="8"/>
  <c r="T9" i="8"/>
  <c r="S9" i="8"/>
  <c r="T8" i="8"/>
  <c r="S8" i="8"/>
  <c r="D8" i="8"/>
  <c r="C8" i="8" s="1"/>
  <c r="U7" i="8"/>
  <c r="U17" i="8" s="1"/>
  <c r="T7" i="8"/>
  <c r="S7" i="8"/>
  <c r="K7" i="8"/>
  <c r="L7" i="8" s="1"/>
  <c r="C7" i="8"/>
  <c r="B7" i="8"/>
  <c r="S4" i="8"/>
  <c r="K4" i="8"/>
  <c r="B4" i="8"/>
  <c r="M7" i="8" l="1"/>
  <c r="K8" i="8"/>
  <c r="L8" i="8" s="1"/>
  <c r="D9" i="8"/>
  <c r="B8" i="8"/>
  <c r="C9" i="8" l="1"/>
  <c r="B9" i="8"/>
  <c r="D10" i="8"/>
  <c r="M8" i="8"/>
  <c r="K9" i="8"/>
  <c r="L9" i="8" s="1"/>
  <c r="C10" i="8" l="1"/>
  <c r="B10" i="8"/>
  <c r="D11" i="8"/>
  <c r="M9" i="8"/>
  <c r="K10" i="8"/>
  <c r="L10" i="8" s="1"/>
  <c r="M10" i="8" s="1"/>
  <c r="M11" i="8" s="1"/>
  <c r="C11" i="8" l="1"/>
  <c r="D12" i="8"/>
  <c r="B11" i="8"/>
  <c r="D13" i="8" l="1"/>
  <c r="B12" i="8"/>
  <c r="C12" i="8"/>
  <c r="C13" i="8" l="1"/>
  <c r="D14" i="8"/>
  <c r="B13" i="8"/>
  <c r="C14" i="8" l="1"/>
  <c r="B14" i="8"/>
  <c r="D15" i="8"/>
  <c r="B15" i="8" l="1"/>
  <c r="D16" i="8"/>
  <c r="C15" i="8"/>
  <c r="D17" i="8" l="1"/>
  <c r="B16" i="8"/>
  <c r="C16" i="8"/>
  <c r="D18" i="8" l="1"/>
  <c r="C17" i="8"/>
  <c r="B17" i="8"/>
  <c r="D19" i="8" l="1"/>
  <c r="C18" i="8"/>
  <c r="B18" i="8"/>
  <c r="B19" i="8" l="1"/>
  <c r="D20" i="8"/>
  <c r="C19" i="8"/>
  <c r="D21" i="8" l="1"/>
  <c r="C20" i="8"/>
  <c r="B20" i="8"/>
  <c r="D22" i="8" l="1"/>
  <c r="C21" i="8"/>
  <c r="B21" i="8"/>
  <c r="D23" i="8" l="1"/>
  <c r="C22" i="8"/>
  <c r="B22" i="8"/>
  <c r="B23" i="8" l="1"/>
  <c r="D24" i="8"/>
  <c r="C23" i="8"/>
  <c r="D25" i="8" l="1"/>
  <c r="C24" i="8"/>
  <c r="B24" i="8"/>
  <c r="D26" i="8" l="1"/>
  <c r="C25" i="8"/>
  <c r="B25" i="8"/>
  <c r="D27" i="8" l="1"/>
  <c r="C26" i="8"/>
  <c r="B26" i="8"/>
  <c r="B27" i="8" l="1"/>
  <c r="D28" i="8"/>
  <c r="C27" i="8"/>
  <c r="D29" i="8" l="1"/>
  <c r="C28" i="8"/>
  <c r="B28" i="8"/>
  <c r="D30" i="8" l="1"/>
  <c r="C29" i="8"/>
  <c r="B29" i="8"/>
  <c r="D31" i="8" l="1"/>
  <c r="C30" i="8"/>
  <c r="B30" i="8"/>
  <c r="B31" i="8" l="1"/>
  <c r="D32" i="8"/>
  <c r="C31" i="8"/>
  <c r="D33" i="8" l="1"/>
  <c r="C32" i="8"/>
  <c r="B32" i="8"/>
  <c r="D34" i="8" l="1"/>
  <c r="C33" i="8"/>
  <c r="B33" i="8"/>
  <c r="C34" i="8" l="1"/>
  <c r="B34" i="8"/>
</calcChain>
</file>

<file path=xl/sharedStrings.xml><?xml version="1.0" encoding="utf-8"?>
<sst xmlns="http://schemas.openxmlformats.org/spreadsheetml/2006/main" count="1166" uniqueCount="189">
  <si>
    <t>MEJILLONES</t>
  </si>
  <si>
    <t>Chile</t>
  </si>
  <si>
    <t>Colombia</t>
  </si>
  <si>
    <t>tbn5</t>
  </si>
  <si>
    <t>tbn6</t>
  </si>
  <si>
    <t>tbn7</t>
  </si>
  <si>
    <t>tbn8</t>
  </si>
  <si>
    <t>tbn9</t>
  </si>
  <si>
    <t>NOMBRE EMBARQUE</t>
  </si>
  <si>
    <t>FECHA DE ARRIBO</t>
  </si>
  <si>
    <t>ORIGEN</t>
  </si>
  <si>
    <t>CANTIDAD ESTIMADA [TON]</t>
  </si>
  <si>
    <t>Complejo Termico</t>
  </si>
  <si>
    <t>Empresa</t>
  </si>
  <si>
    <t>Mejillones</t>
  </si>
  <si>
    <t>ENGIE</t>
  </si>
  <si>
    <t>Por Nominar 6/8</t>
  </si>
  <si>
    <t>Por Nominar 7/8</t>
  </si>
  <si>
    <t>Por Nominar 8/8</t>
  </si>
  <si>
    <t>Por Nominar 1/8</t>
  </si>
  <si>
    <t>Por Nominar 2/8</t>
  </si>
  <si>
    <t>Por Nominar 3/8</t>
  </si>
  <si>
    <t>Por Nominar 4/8</t>
  </si>
  <si>
    <t>USA</t>
  </si>
  <si>
    <t>Por Nominar 5/8</t>
  </si>
  <si>
    <t>Por Contratar</t>
  </si>
  <si>
    <t>No definido</t>
  </si>
  <si>
    <t>SANTA MARÍA</t>
  </si>
  <si>
    <t>Colbún</t>
  </si>
  <si>
    <t>NOMBRE BUQUE</t>
  </si>
  <si>
    <t>PUERTO DE CARGA</t>
  </si>
  <si>
    <t>CANTIDAD ESTIMADA [Mm3]</t>
  </si>
  <si>
    <t>EMPRESA COMPRADORA</t>
  </si>
  <si>
    <t>Sabine Pass</t>
  </si>
  <si>
    <t>Australia</t>
  </si>
  <si>
    <t>TBN</t>
  </si>
  <si>
    <t>Por Definir</t>
  </si>
  <si>
    <t>VENTANAS</t>
  </si>
  <si>
    <t>AES GENER</t>
  </si>
  <si>
    <t>GUACOLDA</t>
  </si>
  <si>
    <t>NUEVA TOCOPILLA</t>
  </si>
  <si>
    <t>COCHRANE</t>
  </si>
  <si>
    <t>ANGAMOS</t>
  </si>
  <si>
    <t xml:space="preserve">ENGIE </t>
  </si>
  <si>
    <t xml:space="preserve">MEL </t>
  </si>
  <si>
    <t>Castillo de Villalba</t>
  </si>
  <si>
    <t>Montoir de Bretagne</t>
  </si>
  <si>
    <t>TBC</t>
  </si>
  <si>
    <t xml:space="preserve">ENEL </t>
  </si>
  <si>
    <t xml:space="preserve">ENAP </t>
  </si>
  <si>
    <t>PROGRAMA ANUAL DE ENTREGAS GNL</t>
  </si>
  <si>
    <t>PROGRAMA ANUAL DE ENTREGAS CARBÓN</t>
  </si>
  <si>
    <t>Terminal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</si>
  <si>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</si>
  <si>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</si>
  <si>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</si>
  <si>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</si>
  <si>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</si>
  <si>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</si>
  <si>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</si>
  <si>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</si>
  <si>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</si>
  <si>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</si>
  <si>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</si>
  <si>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</si>
  <si>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</si>
  <si>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</si>
  <si>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NUEVA RENCA</t>
  </si>
  <si>
    <t>RENCA</t>
  </si>
  <si>
    <t>SANTA LIDIA</t>
  </si>
  <si>
    <t>LOS VIENTOS</t>
  </si>
  <si>
    <t>GENERADORA METROPOLITANA</t>
  </si>
  <si>
    <t>NEHUENCO</t>
  </si>
  <si>
    <t>CANDELARIA</t>
  </si>
  <si>
    <t>LOS PINOS</t>
  </si>
  <si>
    <t>ANTILHUE TG</t>
  </si>
  <si>
    <t>COLBÚN</t>
  </si>
  <si>
    <t>ARICA</t>
  </si>
  <si>
    <t>IQUIQUE</t>
  </si>
  <si>
    <t>Programa Anual de Entregas, Nominaciones diarias y Disponibilidad Diésel</t>
  </si>
  <si>
    <t>(1) ADP Carbón</t>
  </si>
  <si>
    <t>(2) ADP GNL</t>
  </si>
  <si>
    <t>(4) Disponibilidad Diesel</t>
  </si>
  <si>
    <t>Quintero</t>
  </si>
  <si>
    <t>Heather Sally</t>
  </si>
  <si>
    <t>Alison Victoria</t>
  </si>
  <si>
    <t>Gaslog Huston</t>
  </si>
  <si>
    <t>Maran Gas Ulysses</t>
  </si>
  <si>
    <t>Maran Gas Hector</t>
  </si>
  <si>
    <t xml:space="preserve">Myrina </t>
  </si>
  <si>
    <t>Point Fortin</t>
  </si>
  <si>
    <t>ENEL</t>
  </si>
  <si>
    <t>PROGRAMA DIARIO DE NOMINACIONES GNL</t>
  </si>
  <si>
    <t>FECHA</t>
  </si>
  <si>
    <t>CANTIDAD [m3]</t>
  </si>
  <si>
    <t>ADP asociado al suministro de centrales cuyo combustible principal es carbón.</t>
  </si>
  <si>
    <t>ADP de terminales GNL de Mejillones y Quintero.</t>
  </si>
  <si>
    <t>Disponibilidad de centrales diesel.  Esta se expresa como porcentaje de tiempo en las que puede operar a plena carga durante el mes en fucnión de su capacidad de reposición.</t>
  </si>
  <si>
    <t xml:space="preserve">Programa diario de nominaciones de GNL de acuerdo a lo informado mediante las Declaraciones GNL vigentes. </t>
  </si>
  <si>
    <t>Disponibilidad Diésel</t>
  </si>
  <si>
    <t>E-5509 MV ULTRA ROCANVILLE</t>
  </si>
  <si>
    <t xml:space="preserve">E-5514 MV HOUYU </t>
  </si>
  <si>
    <t>E-5508 MV REGO</t>
  </si>
  <si>
    <t>E-5502 MV CYGNUS OCEAN</t>
  </si>
  <si>
    <t>E-5501 MV KEY CALLA</t>
  </si>
  <si>
    <t>E-5510 MV IOLAOS</t>
  </si>
  <si>
    <t>E-5503 MV PEDHOULAS FARMER</t>
  </si>
  <si>
    <t>E-5505 MV NORD SIRIUS</t>
  </si>
  <si>
    <t>E-5507 MV SAKIZAYA NOBLE</t>
  </si>
  <si>
    <t>En viaje 5/8</t>
  </si>
  <si>
    <t>Loreto v.59</t>
  </si>
  <si>
    <t>Comanche</t>
  </si>
  <si>
    <t>tbn1</t>
  </si>
  <si>
    <t>tbn2</t>
  </si>
  <si>
    <t>tbn3</t>
  </si>
  <si>
    <t>tbn4</t>
  </si>
  <si>
    <t>TRAPEN</t>
  </si>
  <si>
    <t>TENO</t>
  </si>
  <si>
    <t>EL PEÑÓN</t>
  </si>
  <si>
    <t>SAN LORENZO DE DIEGO DE ALMAGRO</t>
  </si>
  <si>
    <t>Enlasa</t>
  </si>
  <si>
    <t>Aes Gener</t>
  </si>
  <si>
    <t>Carta DE01290-19</t>
  </si>
  <si>
    <t>Carta DE01414-19</t>
  </si>
  <si>
    <t>Arauco</t>
  </si>
  <si>
    <t>Carta DE01449-19</t>
  </si>
  <si>
    <t>Paneles Arauco</t>
  </si>
  <si>
    <t>Cholguan</t>
  </si>
  <si>
    <t>Disponibilidad Biomasa [Ton]</t>
  </si>
  <si>
    <t>Cholguán</t>
  </si>
  <si>
    <t>Viñales</t>
  </si>
  <si>
    <t>CELULOSA ARAUCO</t>
  </si>
  <si>
    <t>HORCONES TG</t>
  </si>
  <si>
    <t>NUEVA ALDEA II</t>
  </si>
  <si>
    <t>Celco</t>
  </si>
  <si>
    <t>Valdivia</t>
  </si>
  <si>
    <t>Carta DE01156-19</t>
  </si>
  <si>
    <t>Engie</t>
  </si>
  <si>
    <t>Carta DE01281-19</t>
  </si>
  <si>
    <t>Generadora Metropolitana</t>
  </si>
  <si>
    <t>Carta DE01303-19</t>
  </si>
  <si>
    <t>(5) Disponibilidad Biomasa</t>
  </si>
  <si>
    <t>Carta</t>
  </si>
  <si>
    <t>Fecha</t>
  </si>
  <si>
    <t xml:space="preserve">Sociedad Generadora Austral </t>
  </si>
  <si>
    <t>Carta DE01230-19</t>
  </si>
  <si>
    <t xml:space="preserve">Las siguientes empresas han informado la disponibilidad de recurso primario. </t>
  </si>
  <si>
    <t xml:space="preserve">Disponibilidad mensual de biomasa en toneladas por central para los siguientes 12 meses. </t>
  </si>
  <si>
    <t>Enel</t>
  </si>
  <si>
    <t>Carta DE00631-19</t>
  </si>
  <si>
    <t>Comentario</t>
  </si>
  <si>
    <t>Información actualizada a enero 2019</t>
  </si>
  <si>
    <t>Información actualizada a febrero 2019</t>
  </si>
  <si>
    <t>El resto de las empresas no ha entregado la información solicitada mediante carta DE 04286-18 para el mes de enero o febrero 2019.</t>
  </si>
  <si>
    <t>(3) Programa Nominaciones GNL</t>
  </si>
  <si>
    <t>EMPRESA</t>
  </si>
  <si>
    <t>GASODUCTO:</t>
  </si>
  <si>
    <t>GASANDES</t>
  </si>
  <si>
    <t>DIA</t>
  </si>
  <si>
    <t>VOLUMEN [M3]</t>
  </si>
  <si>
    <t>MODALIDAD DE CONTRATO</t>
  </si>
  <si>
    <t>TIPO SUMINISTRO
Firme o Interrumpible</t>
  </si>
  <si>
    <t>RESTRICCIONES OPERATIVAS</t>
  </si>
  <si>
    <t>INFORMACIÓN ADICIONAL</t>
  </si>
  <si>
    <t>FECHA DESDE</t>
  </si>
  <si>
    <t>FECHA HASTA</t>
  </si>
  <si>
    <r>
      <t>VOLUMEN [m</t>
    </r>
    <r>
      <rPr>
        <vertAlign val="superscript"/>
        <sz val="11"/>
        <color theme="5" tint="-0.249977111117893"/>
        <rFont val="Trebuchet MS"/>
        <family val="2"/>
      </rPr>
      <t>3</t>
    </r>
    <r>
      <rPr>
        <sz val="11"/>
        <color theme="5" tint="-0.249977111117893"/>
        <rFont val="Trebuchet MS"/>
        <family val="2"/>
      </rPr>
      <t>]</t>
    </r>
  </si>
  <si>
    <t>Sin Take or Pay</t>
  </si>
  <si>
    <t>INTERRUMPIBLE</t>
  </si>
  <si>
    <t>Día Gas 6:00 hrs a 6:00 hrs</t>
  </si>
  <si>
    <t>Total Ventana Mensual</t>
  </si>
  <si>
    <t>Total Ventana</t>
  </si>
  <si>
    <t>MANTENIMIENTO DE TERMINAL GNL Y/O GASODUCTOS</t>
  </si>
  <si>
    <t>GASODUCTO</t>
  </si>
  <si>
    <t>PERIODO INICIO</t>
  </si>
  <si>
    <t>CENTRALES INDISPONIBLES</t>
  </si>
  <si>
    <t>MOTIVO INDISPONIBILIDAD</t>
  </si>
  <si>
    <t>OBSERVACIONES/COMENTARIOS ADICIONALES</t>
  </si>
  <si>
    <t xml:space="preserve"> - Los volumenes declarados correspondes al dia operativo Gas, de 6:00 hrs a 6:00 hrs del día siguiente.
</t>
  </si>
  <si>
    <t>ENEL GENERACIÓN CHILE</t>
  </si>
  <si>
    <t>Consumo máximo diario 3300640m3</t>
  </si>
  <si>
    <t>Contrato Total Austral + YPF</t>
  </si>
  <si>
    <t>SOCIEDAD GENERADORA AUSTRAL</t>
  </si>
  <si>
    <t>La compra se hace al proveedor INNERGY sin contrato, a precio spot.</t>
  </si>
  <si>
    <t>NORANDINO</t>
  </si>
  <si>
    <t>A la espera de la aprobación por ministerio de energía de Argentina</t>
  </si>
  <si>
    <t>(3.1) a (3.4)</t>
  </si>
  <si>
    <t>Disponiblidad de GN importado por gasoducto para los siguientes 12 meses.</t>
  </si>
  <si>
    <t>Este archivo consolida la informacion recibida en respuesta a carta DE 04286-18 y las Declaraciones GNL. Este archivo contiene los programas anuales de entrega de barcos (ADP por sus siglas en ingles), nominaciones diarias de gas natural liquado y disponibilidad de combustible diesel, gas natural y biomasa.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</si>
</sst>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11"/>
      <color theme="1"/>
      <name val="Arial"/>
      <family val="2"/>
    </font>
    <font>
      <b/>
      <u/>
      <sz val="16"/>
      <color theme="5" tint="-0.249977111117893"/>
      <name val="Trebuchet MS"/>
      <family val="2"/>
    </font>
    <font>
      <sz val="16"/>
      <color theme="0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5" tint="-0.249977111117893"/>
      <name val="Trebuchet MS"/>
      <family val="2"/>
    </font>
    <font>
      <sz val="11"/>
      <color theme="5" tint="-0.249977111117893"/>
      <name val="Trebuchet MS"/>
      <family val="2"/>
    </font>
    <font>
      <b/>
      <sz val="16"/>
      <color theme="5" tint="-0.249977111117893"/>
      <name val="Trebuchet MS"/>
      <family val="2"/>
    </font>
    <font>
      <b/>
      <sz val="12"/>
      <color theme="1"/>
      <name val="Trebuchet MS"/>
      <family val="2"/>
    </font>
    <font>
      <b/>
      <sz val="14"/>
      <color theme="0"/>
      <name val="Trebuchet MS"/>
      <family val="2"/>
    </font>
    <font>
      <sz val="20"/>
      <color theme="1" tint="0.34998626667073579"/>
      <name val="Trebuchet MS"/>
      <family val="2"/>
    </font>
    <font>
      <b/>
      <sz val="12"/>
      <color theme="1" tint="0.249977111117893"/>
      <name val="Trebuchet MS"/>
      <family val="2"/>
    </font>
    <font>
      <sz val="11"/>
      <color theme="1" tint="0.249977111117893"/>
      <name val="Trebuchet MS"/>
      <family val="2"/>
    </font>
    <font>
      <sz val="12"/>
      <color theme="1" tint="0.249977111117893"/>
      <name val="Trebuchet MS"/>
      <family val="2"/>
    </font>
    <font>
      <vertAlign val="superscript"/>
      <sz val="11"/>
      <color theme="5" tint="-0.249977111117893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/>
      <right style="medium">
        <color theme="2" tint="-9.9978637043366805E-2"/>
      </right>
      <top style="medium">
        <color theme="2" tint="-9.9978637043366805E-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2" tint="-0.49998474074526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9" tint="0.39997558519241921"/>
      </top>
      <bottom/>
      <diagonal/>
    </border>
    <border>
      <left style="thick">
        <color theme="9" tint="0.3999755851924192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3" fontId="3" fillId="0" borderId="5" xfId="0" applyNumberFormat="1" applyFont="1" applyBorder="1"/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/>
    <xf numFmtId="0" fontId="0" fillId="0" borderId="6" xfId="0" applyFill="1" applyBorder="1"/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3" fontId="0" fillId="0" borderId="0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7" xfId="1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13" fillId="6" borderId="17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0" fillId="0" borderId="0" xfId="0"/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5" fontId="15" fillId="0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5" fontId="15" fillId="3" borderId="14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69" fontId="15" fillId="6" borderId="14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22" fontId="15" fillId="3" borderId="14" xfId="0" applyNumberFormat="1" applyFont="1" applyFill="1" applyBorder="1" applyAlignment="1">
      <alignment horizontal="center" vertical="center"/>
    </xf>
    <xf numFmtId="22" fontId="15" fillId="0" borderId="13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22" fontId="15" fillId="3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15" fontId="15" fillId="3" borderId="20" xfId="0" applyNumberFormat="1" applyFont="1" applyFill="1" applyBorder="1" applyAlignment="1">
      <alignment horizontal="center" vertical="center"/>
    </xf>
    <xf numFmtId="0" fontId="15" fillId="3" borderId="20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/>
    </xf>
    <xf numFmtId="22" fontId="15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22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22" fontId="15" fillId="0" borderId="2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4" fontId="5" fillId="7" borderId="0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12%20-%20Diciembre/Engie/Formato_Informacion_Recurso_primario_di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elatorre/AppData/Local/Microsoft/Windows/INetCache/Content.Outlook/TH5HXFKH/Recurso%20primari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GM/201902_Formato_Informacion_Recurso_prima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GM/Recurso%20primario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1%20Enero/Enel/21-01-2019/0035_2019_YPFTOTAL_Formato_Informacion_Recurso_prima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166584558\AppData\Local\Microsoft\Windows\INetCache\Content.Outlook\3IH0Y18B\Recurso%20primario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SGA/Formato_Informacion_Recurso_primario_06-02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os%20varios/Turbina/Informacion%20correo%20CDEC/2018/20181121/Informe%20ejecutivo/Recurso%20primario_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_Informacion_Recurso_primarioD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Engie/Formato_Informacion_Recurso_primario_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5">
          <cell r="B165" t="str">
            <v>BASE</v>
          </cell>
        </row>
        <row r="166">
          <cell r="B166" t="str">
            <v>ADICIONAL</v>
          </cell>
        </row>
        <row r="167">
          <cell r="B167" t="str">
            <v>SPOT</v>
          </cell>
        </row>
        <row r="168">
          <cell r="B168" t="str">
            <v>OTRO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BIOENERGÍAS FORESTALES</v>
          </cell>
          <cell r="D3" t="str">
            <v>GASATACAMA</v>
          </cell>
        </row>
        <row r="4">
          <cell r="B4" t="str">
            <v>COLBÚN</v>
          </cell>
          <cell r="D4" t="str">
            <v>NORANDINO</v>
          </cell>
        </row>
        <row r="5">
          <cell r="B5" t="str">
            <v>COLMITO</v>
          </cell>
          <cell r="D5" t="str">
            <v>GASANDES</v>
          </cell>
        </row>
        <row r="6">
          <cell r="B6" t="str">
            <v>ENAP REFINERÍAS</v>
          </cell>
          <cell r="D6" t="str">
            <v>GAS PACÍFICO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  <cell r="D10" t="str">
            <v>FIRME</v>
          </cell>
        </row>
        <row r="11">
          <cell r="B11" t="str">
            <v>ORAZUL ENERGY</v>
          </cell>
          <cell r="D11" t="str">
            <v>INTERRUMPIBLE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  <cell r="D16" t="str">
            <v>100% Take or Pay</v>
          </cell>
        </row>
        <row r="17">
          <cell r="B17" t="str">
            <v>CANDELARIA</v>
          </cell>
          <cell r="D17" t="str">
            <v>Take or Pay parcial</v>
          </cell>
        </row>
        <row r="18">
          <cell r="B18" t="str">
            <v>COLMITO</v>
          </cell>
          <cell r="D18" t="str">
            <v>Sin Take or Pay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6B1D-D1CD-495B-B36A-795EE0FB81A0}">
  <sheetPr codeName="Hoja1"/>
  <dimension ref="A1:K27"/>
  <sheetViews>
    <sheetView showGridLines="0" tabSelected="1" workbookViewId="0">
      <selection activeCell="A3" sqref="A3"/>
    </sheetView>
  </sheetViews>
  <sheetFormatPr baseColWidth="10" defaultColWidth="0" defaultRowHeight="15" zeroHeight="1" x14ac:dyDescent="0.25"/>
  <cols>
    <col min="1" max="1" width="30.85546875" customWidth="1"/>
    <col min="2" max="2" width="16.7109375" customWidth="1"/>
    <col min="3" max="11" width="10.85546875" customWidth="1"/>
    <col min="12" max="12" width="10.85546875" hidden="1" customWidth="1"/>
    <col min="13" max="16384" width="10.85546875" hidden="1"/>
  </cols>
  <sheetData>
    <row r="1" spans="1:11" ht="21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48.75" customHeight="1" x14ac:dyDescent="0.25">
      <c r="A2" s="54" t="s">
        <v>188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/>
    <row r="4" spans="1:11" ht="29.1" customHeight="1" x14ac:dyDescent="0.25">
      <c r="A4" s="34" t="s">
        <v>80</v>
      </c>
      <c r="B4" s="56" t="s">
        <v>95</v>
      </c>
      <c r="C4" s="56"/>
      <c r="D4" s="56"/>
      <c r="E4" s="56"/>
      <c r="F4" s="56"/>
      <c r="G4" s="56"/>
      <c r="H4" s="56"/>
      <c r="I4" s="56"/>
      <c r="J4" s="56"/>
      <c r="K4" s="56"/>
    </row>
    <row r="5" spans="1:11" ht="29.1" customHeight="1" x14ac:dyDescent="0.25">
      <c r="A5" s="34" t="s">
        <v>81</v>
      </c>
      <c r="B5" s="56" t="s">
        <v>96</v>
      </c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t="s">
        <v>154</v>
      </c>
      <c r="B6" s="57" t="s">
        <v>98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s="67" customFormat="1" x14ac:dyDescent="0.25">
      <c r="A7" s="67" t="s">
        <v>186</v>
      </c>
      <c r="B7" s="41" t="s">
        <v>187</v>
      </c>
      <c r="C7" s="41"/>
      <c r="D7" s="41"/>
      <c r="E7" s="41"/>
      <c r="F7" s="41"/>
      <c r="G7" s="41"/>
      <c r="H7" s="41"/>
      <c r="I7" s="41"/>
      <c r="J7" s="41"/>
      <c r="K7" s="41"/>
    </row>
    <row r="8" spans="1:11" ht="29.1" customHeight="1" x14ac:dyDescent="0.25">
      <c r="A8" s="34" t="s">
        <v>82</v>
      </c>
      <c r="B8" s="54" t="s">
        <v>97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5">
      <c r="A9" s="34" t="s">
        <v>141</v>
      </c>
      <c r="B9" t="s">
        <v>147</v>
      </c>
    </row>
    <row r="10" spans="1:11" x14ac:dyDescent="0.25">
      <c r="A10" s="34"/>
    </row>
    <row r="11" spans="1:11" x14ac:dyDescent="0.25">
      <c r="A11" s="34" t="s">
        <v>146</v>
      </c>
    </row>
    <row r="12" spans="1:11" x14ac:dyDescent="0.25">
      <c r="A12" s="34"/>
    </row>
    <row r="13" spans="1:11" x14ac:dyDescent="0.25">
      <c r="A13" s="63" t="s">
        <v>13</v>
      </c>
      <c r="B13" s="64" t="s">
        <v>142</v>
      </c>
      <c r="C13" s="64" t="s">
        <v>143</v>
      </c>
      <c r="D13" s="64" t="s">
        <v>150</v>
      </c>
    </row>
    <row r="14" spans="1:11" x14ac:dyDescent="0.25">
      <c r="A14" t="s">
        <v>121</v>
      </c>
      <c r="B14" t="s">
        <v>122</v>
      </c>
      <c r="C14" s="1">
        <v>43504</v>
      </c>
      <c r="D14" t="s">
        <v>152</v>
      </c>
    </row>
    <row r="15" spans="1:11" x14ac:dyDescent="0.25">
      <c r="A15" t="s">
        <v>124</v>
      </c>
      <c r="B15" t="s">
        <v>125</v>
      </c>
      <c r="C15" s="1">
        <v>43510</v>
      </c>
      <c r="D15" t="s">
        <v>152</v>
      </c>
    </row>
    <row r="16" spans="1:11" x14ac:dyDescent="0.25">
      <c r="A16" t="s">
        <v>28</v>
      </c>
      <c r="B16" t="s">
        <v>136</v>
      </c>
      <c r="C16" s="1">
        <v>43501</v>
      </c>
      <c r="D16" t="s">
        <v>152</v>
      </c>
    </row>
    <row r="17" spans="1:4" x14ac:dyDescent="0.25">
      <c r="A17" t="s">
        <v>137</v>
      </c>
      <c r="B17" t="s">
        <v>138</v>
      </c>
      <c r="C17" s="1">
        <v>43503</v>
      </c>
      <c r="D17" t="s">
        <v>152</v>
      </c>
    </row>
    <row r="18" spans="1:4" x14ac:dyDescent="0.25">
      <c r="A18" t="s">
        <v>120</v>
      </c>
      <c r="B18" t="s">
        <v>123</v>
      </c>
      <c r="C18" s="1">
        <v>43509</v>
      </c>
      <c r="D18" t="s">
        <v>152</v>
      </c>
    </row>
    <row r="19" spans="1:4" x14ac:dyDescent="0.25">
      <c r="A19" t="s">
        <v>139</v>
      </c>
      <c r="B19" t="s">
        <v>140</v>
      </c>
      <c r="C19" s="1">
        <v>43503</v>
      </c>
      <c r="D19" t="s">
        <v>152</v>
      </c>
    </row>
    <row r="20" spans="1:4" x14ac:dyDescent="0.25">
      <c r="A20" t="s">
        <v>144</v>
      </c>
      <c r="B20" t="s">
        <v>145</v>
      </c>
      <c r="C20" s="1">
        <v>43502</v>
      </c>
      <c r="D20" t="s">
        <v>152</v>
      </c>
    </row>
    <row r="21" spans="1:4" x14ac:dyDescent="0.25">
      <c r="A21" t="s">
        <v>148</v>
      </c>
      <c r="B21" t="s">
        <v>149</v>
      </c>
      <c r="C21" s="1">
        <v>43486</v>
      </c>
      <c r="D21" t="s">
        <v>151</v>
      </c>
    </row>
    <row r="22" spans="1:4" x14ac:dyDescent="0.25"/>
    <row r="23" spans="1:4" x14ac:dyDescent="0.25">
      <c r="A23" t="s">
        <v>153</v>
      </c>
    </row>
    <row r="24" spans="1:4" x14ac:dyDescent="0.25"/>
    <row r="25" spans="1:4" x14ac:dyDescent="0.25"/>
    <row r="26" spans="1:4" x14ac:dyDescent="0.25"/>
    <row r="27" spans="1:4" x14ac:dyDescent="0.25"/>
  </sheetData>
  <mergeCells count="6">
    <mergeCell ref="B8:K8"/>
    <mergeCell ref="A1:K1"/>
    <mergeCell ref="A2:K2"/>
    <mergeCell ref="B4:K4"/>
    <mergeCell ref="B5:K5"/>
    <mergeCell ref="B6:K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6BAF-48C7-46CF-BA46-3D35519D26FF}">
  <sheetPr codeName="Hoja6"/>
  <dimension ref="A1:H25"/>
  <sheetViews>
    <sheetView showGridLines="0" workbookViewId="0">
      <selection activeCell="B6" sqref="B6"/>
    </sheetView>
  </sheetViews>
  <sheetFormatPr baseColWidth="10" defaultRowHeight="0" customHeight="1" zeroHeight="1" x14ac:dyDescent="0.25"/>
  <cols>
    <col min="4" max="4" width="9.28515625" bestFit="1" customWidth="1"/>
    <col min="5" max="5" width="7.5703125" bestFit="1" customWidth="1"/>
    <col min="6" max="7" width="7.140625" bestFit="1" customWidth="1"/>
  </cols>
  <sheetData>
    <row r="1" spans="1:8" ht="21" x14ac:dyDescent="0.25">
      <c r="A1" s="58" t="s">
        <v>128</v>
      </c>
      <c r="B1" s="58"/>
      <c r="C1" s="58"/>
      <c r="D1" s="58"/>
      <c r="E1" s="58"/>
    </row>
    <row r="2" spans="1:8" ht="15" x14ac:dyDescent="0.25"/>
    <row r="3" spans="1:8" ht="15.75" thickBot="1" x14ac:dyDescent="0.3"/>
    <row r="4" spans="1:8" ht="15.75" thickBot="1" x14ac:dyDescent="0.3">
      <c r="B4" s="59" t="s">
        <v>53</v>
      </c>
      <c r="C4" s="61" t="s">
        <v>54</v>
      </c>
      <c r="D4" s="26" t="s">
        <v>124</v>
      </c>
      <c r="E4" s="26" t="s">
        <v>124</v>
      </c>
      <c r="F4" s="26" t="s">
        <v>124</v>
      </c>
      <c r="G4" s="26" t="s">
        <v>124</v>
      </c>
      <c r="H4" s="38" t="s">
        <v>124</v>
      </c>
    </row>
    <row r="5" spans="1:8" ht="15.75" thickBot="1" x14ac:dyDescent="0.3">
      <c r="B5" s="60"/>
      <c r="C5" s="62"/>
      <c r="D5" s="31" t="s">
        <v>129</v>
      </c>
      <c r="E5" s="32" t="s">
        <v>130</v>
      </c>
      <c r="F5" s="32" t="s">
        <v>124</v>
      </c>
      <c r="G5" s="32" t="s">
        <v>134</v>
      </c>
      <c r="H5" s="33" t="s">
        <v>135</v>
      </c>
    </row>
    <row r="6" spans="1:8" ht="15" x14ac:dyDescent="0.25">
      <c r="B6" s="15">
        <v>2019</v>
      </c>
      <c r="C6" s="18" t="s">
        <v>57</v>
      </c>
      <c r="D6" s="50">
        <v>9561</v>
      </c>
      <c r="E6" s="50">
        <v>30200</v>
      </c>
      <c r="F6" s="50">
        <v>24132</v>
      </c>
      <c r="G6" s="50">
        <v>5000</v>
      </c>
      <c r="H6" s="51">
        <v>23151</v>
      </c>
    </row>
    <row r="7" spans="1:8" ht="15" x14ac:dyDescent="0.25">
      <c r="B7" s="15">
        <v>2019</v>
      </c>
      <c r="C7" s="18" t="s">
        <v>58</v>
      </c>
      <c r="D7" s="50">
        <v>9561</v>
      </c>
      <c r="E7" s="50">
        <v>30200</v>
      </c>
      <c r="F7" s="50">
        <v>24132</v>
      </c>
      <c r="G7" s="50">
        <v>5000</v>
      </c>
      <c r="H7" s="51">
        <v>23151</v>
      </c>
    </row>
    <row r="8" spans="1:8" ht="15" x14ac:dyDescent="0.25">
      <c r="B8" s="15">
        <v>2019</v>
      </c>
      <c r="C8" s="18" t="s">
        <v>59</v>
      </c>
      <c r="D8" s="50">
        <v>9561</v>
      </c>
      <c r="E8" s="50">
        <v>30200</v>
      </c>
      <c r="F8" s="50">
        <v>24132</v>
      </c>
      <c r="G8" s="50">
        <v>5000</v>
      </c>
      <c r="H8" s="51">
        <v>23151</v>
      </c>
    </row>
    <row r="9" spans="1:8" ht="15" x14ac:dyDescent="0.25">
      <c r="B9" s="15">
        <v>2019</v>
      </c>
      <c r="C9" s="18" t="s">
        <v>60</v>
      </c>
      <c r="D9" s="50">
        <v>9561</v>
      </c>
      <c r="E9" s="50">
        <v>30200</v>
      </c>
      <c r="F9" s="50">
        <v>24132</v>
      </c>
      <c r="G9" s="50">
        <v>5000</v>
      </c>
      <c r="H9" s="51">
        <v>23151</v>
      </c>
    </row>
    <row r="10" spans="1:8" ht="15" x14ac:dyDescent="0.25">
      <c r="B10" s="15">
        <v>2019</v>
      </c>
      <c r="C10" s="18" t="s">
        <v>61</v>
      </c>
      <c r="D10" s="50">
        <v>9561</v>
      </c>
      <c r="E10" s="50">
        <v>30200</v>
      </c>
      <c r="F10" s="50">
        <v>24132</v>
      </c>
      <c r="G10" s="50">
        <v>5000</v>
      </c>
      <c r="H10" s="51">
        <v>23151</v>
      </c>
    </row>
    <row r="11" spans="1:8" ht="15" x14ac:dyDescent="0.25">
      <c r="B11" s="15">
        <v>2019</v>
      </c>
      <c r="C11" s="18" t="s">
        <v>62</v>
      </c>
      <c r="D11" s="50">
        <v>9561</v>
      </c>
      <c r="E11" s="50">
        <v>30200</v>
      </c>
      <c r="F11" s="50">
        <v>24132</v>
      </c>
      <c r="G11" s="50">
        <v>5000</v>
      </c>
      <c r="H11" s="51">
        <v>23151</v>
      </c>
    </row>
    <row r="12" spans="1:8" ht="15" x14ac:dyDescent="0.25">
      <c r="B12" s="15">
        <v>2019</v>
      </c>
      <c r="C12" s="18" t="s">
        <v>63</v>
      </c>
      <c r="D12" s="50">
        <v>9561</v>
      </c>
      <c r="E12" s="50">
        <v>30200</v>
      </c>
      <c r="F12" s="50">
        <v>24132</v>
      </c>
      <c r="G12" s="50">
        <v>5000</v>
      </c>
      <c r="H12" s="51">
        <v>23151</v>
      </c>
    </row>
    <row r="13" spans="1:8" ht="15" x14ac:dyDescent="0.25">
      <c r="B13" s="15">
        <v>2019</v>
      </c>
      <c r="C13" s="18" t="s">
        <v>64</v>
      </c>
      <c r="D13" s="50">
        <v>9561</v>
      </c>
      <c r="E13" s="50">
        <v>30200</v>
      </c>
      <c r="F13" s="50">
        <v>24132</v>
      </c>
      <c r="G13" s="50">
        <v>5000</v>
      </c>
      <c r="H13" s="51">
        <v>23151</v>
      </c>
    </row>
    <row r="14" spans="1:8" ht="15" x14ac:dyDescent="0.25">
      <c r="B14" s="15">
        <v>2019</v>
      </c>
      <c r="C14" s="18" t="s">
        <v>65</v>
      </c>
      <c r="D14" s="50">
        <v>9561</v>
      </c>
      <c r="E14" s="50">
        <v>30200</v>
      </c>
      <c r="F14" s="50">
        <v>24132</v>
      </c>
      <c r="G14" s="50">
        <v>5000</v>
      </c>
      <c r="H14" s="51">
        <v>23151</v>
      </c>
    </row>
    <row r="15" spans="1:8" ht="15" x14ac:dyDescent="0.25">
      <c r="B15" s="15">
        <v>2019</v>
      </c>
      <c r="C15" s="18" t="s">
        <v>66</v>
      </c>
      <c r="D15" s="50">
        <v>9561</v>
      </c>
      <c r="E15" s="50">
        <v>30200</v>
      </c>
      <c r="F15" s="50">
        <v>24132</v>
      </c>
      <c r="G15" s="50">
        <v>5000</v>
      </c>
      <c r="H15" s="51">
        <v>23151</v>
      </c>
    </row>
    <row r="16" spans="1:8" ht="15" x14ac:dyDescent="0.25">
      <c r="B16" s="15">
        <v>2019</v>
      </c>
      <c r="C16" s="18" t="s">
        <v>55</v>
      </c>
      <c r="D16" s="50">
        <v>9561</v>
      </c>
      <c r="E16" s="50">
        <v>30200</v>
      </c>
      <c r="F16" s="50">
        <v>24132</v>
      </c>
      <c r="G16" s="50">
        <v>5000</v>
      </c>
      <c r="H16" s="51">
        <v>23151</v>
      </c>
    </row>
    <row r="17" spans="2:8" ht="15.75" thickBot="1" x14ac:dyDescent="0.3">
      <c r="B17" s="19">
        <v>2020</v>
      </c>
      <c r="C17" s="22" t="s">
        <v>56</v>
      </c>
      <c r="D17" s="52">
        <v>9561</v>
      </c>
      <c r="E17" s="52">
        <v>30200</v>
      </c>
      <c r="F17" s="52">
        <v>24132</v>
      </c>
      <c r="G17" s="52">
        <v>5000</v>
      </c>
      <c r="H17" s="53">
        <v>23151</v>
      </c>
    </row>
    <row r="18" spans="2:8" ht="15" x14ac:dyDescent="0.25"/>
    <row r="19" spans="2:8" ht="15" x14ac:dyDescent="0.25"/>
    <row r="20" spans="2:8" ht="15" x14ac:dyDescent="0.25"/>
    <row r="21" spans="2:8" ht="15" hidden="1" x14ac:dyDescent="0.25"/>
    <row r="22" spans="2:8" ht="15" hidden="1" x14ac:dyDescent="0.25"/>
    <row r="23" spans="2:8" ht="15" hidden="1" x14ac:dyDescent="0.25"/>
    <row r="24" spans="2:8" ht="15" hidden="1" x14ac:dyDescent="0.25"/>
    <row r="25" spans="2:8" ht="15" hidden="1" x14ac:dyDescent="0.25"/>
  </sheetData>
  <mergeCells count="3">
    <mergeCell ref="A1:E1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B679-F4E2-47B1-9E30-49D4BB4F6E76}">
  <sheetPr codeName="Hoja2"/>
  <dimension ref="A1:J108"/>
  <sheetViews>
    <sheetView showGridLines="0" workbookViewId="0">
      <pane ySplit="4" topLeftCell="A5" activePane="bottomLeft" state="frozen"/>
      <selection pane="bottomLeft" activeCell="E5" sqref="E5"/>
    </sheetView>
  </sheetViews>
  <sheetFormatPr baseColWidth="10" defaultColWidth="11.42578125" defaultRowHeight="15" x14ac:dyDescent="0.25"/>
  <cols>
    <col min="1" max="1" width="11.42578125" customWidth="1"/>
    <col min="2" max="2" width="10.5703125" bestFit="1" customWidth="1"/>
    <col min="3" max="3" width="20.28515625" style="3" bestFit="1" customWidth="1"/>
    <col min="4" max="4" width="35.28515625" style="1" bestFit="1" customWidth="1"/>
    <col min="5" max="5" width="11.5703125" bestFit="1" customWidth="1"/>
    <col min="6" max="6" width="11.28515625" style="2" bestFit="1" customWidth="1"/>
    <col min="7" max="7" width="17.5703125" bestFit="1" customWidth="1"/>
    <col min="8" max="9" width="11.42578125" customWidth="1"/>
  </cols>
  <sheetData>
    <row r="1" spans="1:7" ht="21" x14ac:dyDescent="0.25">
      <c r="A1" s="58" t="s">
        <v>51</v>
      </c>
      <c r="B1" s="58"/>
      <c r="C1" s="58"/>
      <c r="D1" s="58"/>
      <c r="E1" s="58"/>
    </row>
    <row r="3" spans="1:7" ht="15.75" thickBot="1" x14ac:dyDescent="0.3"/>
    <row r="4" spans="1:7" ht="29.25" thickBot="1" x14ac:dyDescent="0.3">
      <c r="B4" s="9" t="s">
        <v>13</v>
      </c>
      <c r="C4" s="10" t="s">
        <v>12</v>
      </c>
      <c r="D4" s="10" t="s">
        <v>8</v>
      </c>
      <c r="E4" s="11" t="s">
        <v>9</v>
      </c>
      <c r="F4" s="10" t="s">
        <v>10</v>
      </c>
      <c r="G4" s="12" t="s">
        <v>11</v>
      </c>
    </row>
    <row r="5" spans="1:7" x14ac:dyDescent="0.25">
      <c r="B5" s="13" t="s">
        <v>15</v>
      </c>
      <c r="C5" s="7" t="s">
        <v>0</v>
      </c>
      <c r="D5" s="7" t="s">
        <v>110</v>
      </c>
      <c r="E5" s="8">
        <v>43501</v>
      </c>
      <c r="F5" s="7" t="s">
        <v>1</v>
      </c>
      <c r="G5" s="14">
        <v>75000</v>
      </c>
    </row>
    <row r="6" spans="1:7" x14ac:dyDescent="0.25">
      <c r="B6" s="13" t="s">
        <v>15</v>
      </c>
      <c r="C6" s="7" t="s">
        <v>0</v>
      </c>
      <c r="D6" s="7" t="s">
        <v>111</v>
      </c>
      <c r="E6" s="8">
        <v>43538</v>
      </c>
      <c r="F6" s="7" t="s">
        <v>2</v>
      </c>
      <c r="G6" s="14">
        <v>160000</v>
      </c>
    </row>
    <row r="7" spans="1:7" x14ac:dyDescent="0.25">
      <c r="B7" s="13" t="s">
        <v>15</v>
      </c>
      <c r="C7" s="7" t="s">
        <v>0</v>
      </c>
      <c r="D7" s="7" t="s">
        <v>112</v>
      </c>
      <c r="E7" s="8">
        <v>43591</v>
      </c>
      <c r="F7" s="7" t="s">
        <v>1</v>
      </c>
      <c r="G7" s="14">
        <v>75000</v>
      </c>
    </row>
    <row r="8" spans="1:7" x14ac:dyDescent="0.25">
      <c r="B8" s="13" t="s">
        <v>15</v>
      </c>
      <c r="C8" s="7" t="s">
        <v>0</v>
      </c>
      <c r="D8" s="7" t="s">
        <v>113</v>
      </c>
      <c r="E8" s="8">
        <v>43597</v>
      </c>
      <c r="F8" s="7" t="s">
        <v>2</v>
      </c>
      <c r="G8" s="14">
        <v>160000</v>
      </c>
    </row>
    <row r="9" spans="1:7" x14ac:dyDescent="0.25">
      <c r="B9" s="13" t="s">
        <v>15</v>
      </c>
      <c r="C9" s="7" t="s">
        <v>0</v>
      </c>
      <c r="D9" s="7" t="s">
        <v>114</v>
      </c>
      <c r="E9" s="8">
        <v>43633</v>
      </c>
      <c r="F9" s="7" t="s">
        <v>1</v>
      </c>
      <c r="G9" s="14">
        <v>75000</v>
      </c>
    </row>
    <row r="10" spans="1:7" x14ac:dyDescent="0.25">
      <c r="B10" s="13" t="s">
        <v>15</v>
      </c>
      <c r="C10" s="7" t="s">
        <v>0</v>
      </c>
      <c r="D10" s="7" t="s">
        <v>115</v>
      </c>
      <c r="E10" s="8">
        <v>43641</v>
      </c>
      <c r="F10" s="7" t="s">
        <v>2</v>
      </c>
      <c r="G10" s="14">
        <v>160000</v>
      </c>
    </row>
    <row r="11" spans="1:7" x14ac:dyDescent="0.25">
      <c r="B11" s="13" t="s">
        <v>15</v>
      </c>
      <c r="C11" s="7" t="s">
        <v>0</v>
      </c>
      <c r="D11" s="7" t="s">
        <v>3</v>
      </c>
      <c r="E11" s="8">
        <v>43670</v>
      </c>
      <c r="F11" s="7" t="s">
        <v>2</v>
      </c>
      <c r="G11" s="14">
        <v>160000</v>
      </c>
    </row>
    <row r="12" spans="1:7" x14ac:dyDescent="0.25">
      <c r="B12" s="13" t="s">
        <v>15</v>
      </c>
      <c r="C12" s="7" t="s">
        <v>0</v>
      </c>
      <c r="D12" s="7" t="s">
        <v>4</v>
      </c>
      <c r="E12" s="8">
        <v>43698</v>
      </c>
      <c r="F12" s="7" t="s">
        <v>1</v>
      </c>
      <c r="G12" s="14">
        <v>75000</v>
      </c>
    </row>
    <row r="13" spans="1:7" x14ac:dyDescent="0.25">
      <c r="B13" s="13" t="s">
        <v>15</v>
      </c>
      <c r="C13" s="7" t="s">
        <v>0</v>
      </c>
      <c r="D13" s="7" t="s">
        <v>5</v>
      </c>
      <c r="E13" s="8">
        <v>43735</v>
      </c>
      <c r="F13" s="7" t="s">
        <v>2</v>
      </c>
      <c r="G13" s="14">
        <v>160000</v>
      </c>
    </row>
    <row r="14" spans="1:7" x14ac:dyDescent="0.25">
      <c r="B14" s="13" t="s">
        <v>15</v>
      </c>
      <c r="C14" s="7" t="s">
        <v>0</v>
      </c>
      <c r="D14" s="7" t="s">
        <v>6</v>
      </c>
      <c r="E14" s="8">
        <v>43758</v>
      </c>
      <c r="F14" s="7" t="s">
        <v>1</v>
      </c>
      <c r="G14" s="14">
        <v>75000</v>
      </c>
    </row>
    <row r="15" spans="1:7" x14ac:dyDescent="0.25">
      <c r="B15" s="13" t="s">
        <v>15</v>
      </c>
      <c r="C15" s="7" t="s">
        <v>0</v>
      </c>
      <c r="D15" s="7" t="s">
        <v>7</v>
      </c>
      <c r="E15" s="8">
        <v>43789</v>
      </c>
      <c r="F15" s="7" t="s">
        <v>1</v>
      </c>
      <c r="G15" s="14">
        <v>75000</v>
      </c>
    </row>
    <row r="16" spans="1:7" x14ac:dyDescent="0.25">
      <c r="B16" s="42" t="s">
        <v>28</v>
      </c>
      <c r="C16" s="43" t="s">
        <v>27</v>
      </c>
      <c r="D16" s="43" t="s">
        <v>109</v>
      </c>
      <c r="E16" s="44">
        <v>43525</v>
      </c>
      <c r="F16" s="43" t="s">
        <v>2</v>
      </c>
      <c r="G16" s="45">
        <v>75000</v>
      </c>
    </row>
    <row r="17" spans="2:10" x14ac:dyDescent="0.25">
      <c r="B17" s="42" t="s">
        <v>28</v>
      </c>
      <c r="C17" s="43" t="s">
        <v>27</v>
      </c>
      <c r="D17" s="43" t="s">
        <v>16</v>
      </c>
      <c r="E17" s="44">
        <v>43547</v>
      </c>
      <c r="F17" s="43" t="s">
        <v>2</v>
      </c>
      <c r="G17" s="45">
        <v>75000</v>
      </c>
    </row>
    <row r="18" spans="2:10" x14ac:dyDescent="0.25">
      <c r="B18" s="42" t="s">
        <v>28</v>
      </c>
      <c r="C18" s="43" t="s">
        <v>27</v>
      </c>
      <c r="D18" s="43" t="s">
        <v>17</v>
      </c>
      <c r="E18" s="44">
        <v>43570</v>
      </c>
      <c r="F18" s="43" t="s">
        <v>2</v>
      </c>
      <c r="G18" s="45">
        <v>75000</v>
      </c>
    </row>
    <row r="19" spans="2:10" x14ac:dyDescent="0.25">
      <c r="B19" s="42" t="s">
        <v>28</v>
      </c>
      <c r="C19" s="43" t="s">
        <v>27</v>
      </c>
      <c r="D19" s="43" t="s">
        <v>18</v>
      </c>
      <c r="E19" s="44">
        <v>43600</v>
      </c>
      <c r="F19" s="43" t="s">
        <v>2</v>
      </c>
      <c r="G19" s="45">
        <v>75000</v>
      </c>
    </row>
    <row r="20" spans="2:10" x14ac:dyDescent="0.25">
      <c r="B20" s="42" t="s">
        <v>28</v>
      </c>
      <c r="C20" s="43" t="s">
        <v>27</v>
      </c>
      <c r="D20" s="43" t="s">
        <v>19</v>
      </c>
      <c r="E20" s="44">
        <v>43626</v>
      </c>
      <c r="F20" s="43" t="s">
        <v>2</v>
      </c>
      <c r="G20" s="45">
        <v>75000</v>
      </c>
      <c r="J20" s="2"/>
    </row>
    <row r="21" spans="2:10" x14ac:dyDescent="0.25">
      <c r="B21" s="42" t="s">
        <v>28</v>
      </c>
      <c r="C21" s="43" t="s">
        <v>27</v>
      </c>
      <c r="D21" s="43" t="s">
        <v>20</v>
      </c>
      <c r="E21" s="44">
        <v>43652</v>
      </c>
      <c r="F21" s="43" t="s">
        <v>23</v>
      </c>
      <c r="G21" s="45">
        <v>75000</v>
      </c>
    </row>
    <row r="22" spans="2:10" x14ac:dyDescent="0.25">
      <c r="B22" s="42" t="s">
        <v>28</v>
      </c>
      <c r="C22" s="43" t="s">
        <v>27</v>
      </c>
      <c r="D22" s="43" t="s">
        <v>21</v>
      </c>
      <c r="E22" s="44">
        <v>43678</v>
      </c>
      <c r="F22" s="43" t="s">
        <v>2</v>
      </c>
      <c r="G22" s="45">
        <v>75000</v>
      </c>
    </row>
    <row r="23" spans="2:10" x14ac:dyDescent="0.25">
      <c r="B23" s="42" t="s">
        <v>28</v>
      </c>
      <c r="C23" s="43" t="s">
        <v>27</v>
      </c>
      <c r="D23" s="43" t="s">
        <v>22</v>
      </c>
      <c r="E23" s="44">
        <v>43703</v>
      </c>
      <c r="F23" s="43" t="s">
        <v>23</v>
      </c>
      <c r="G23" s="45">
        <v>75000</v>
      </c>
    </row>
    <row r="24" spans="2:10" x14ac:dyDescent="0.25">
      <c r="B24" s="42" t="s">
        <v>28</v>
      </c>
      <c r="C24" s="43" t="s">
        <v>27</v>
      </c>
      <c r="D24" s="43" t="s">
        <v>24</v>
      </c>
      <c r="E24" s="44">
        <v>43729</v>
      </c>
      <c r="F24" s="43" t="s">
        <v>2</v>
      </c>
      <c r="G24" s="45">
        <v>75000</v>
      </c>
    </row>
    <row r="25" spans="2:10" x14ac:dyDescent="0.25">
      <c r="B25" s="42" t="s">
        <v>28</v>
      </c>
      <c r="C25" s="43" t="s">
        <v>27</v>
      </c>
      <c r="D25" s="43" t="s">
        <v>16</v>
      </c>
      <c r="E25" s="44">
        <v>43755</v>
      </c>
      <c r="F25" s="43" t="s">
        <v>2</v>
      </c>
      <c r="G25" s="45">
        <v>75000</v>
      </c>
    </row>
    <row r="26" spans="2:10" x14ac:dyDescent="0.25">
      <c r="B26" s="42" t="s">
        <v>28</v>
      </c>
      <c r="C26" s="43" t="s">
        <v>27</v>
      </c>
      <c r="D26" s="43" t="s">
        <v>17</v>
      </c>
      <c r="E26" s="44">
        <v>43802</v>
      </c>
      <c r="F26" s="43" t="s">
        <v>2</v>
      </c>
      <c r="G26" s="45">
        <v>75000</v>
      </c>
    </row>
    <row r="27" spans="2:10" x14ac:dyDescent="0.25">
      <c r="B27" s="42" t="s">
        <v>28</v>
      </c>
      <c r="C27" s="43" t="s">
        <v>27</v>
      </c>
      <c r="D27" s="43" t="s">
        <v>18</v>
      </c>
      <c r="E27" s="44">
        <v>43828</v>
      </c>
      <c r="F27" s="43" t="s">
        <v>26</v>
      </c>
      <c r="G27" s="45">
        <v>75000</v>
      </c>
    </row>
    <row r="28" spans="2:10" x14ac:dyDescent="0.25">
      <c r="B28" s="42" t="s">
        <v>28</v>
      </c>
      <c r="C28" s="43" t="s">
        <v>27</v>
      </c>
      <c r="D28" s="43" t="s">
        <v>25</v>
      </c>
      <c r="E28" s="44">
        <v>43856</v>
      </c>
      <c r="F28" s="43" t="s">
        <v>26</v>
      </c>
      <c r="G28" s="45">
        <v>75000</v>
      </c>
    </row>
    <row r="29" spans="2:10" x14ac:dyDescent="0.25">
      <c r="B29" s="42" t="s">
        <v>28</v>
      </c>
      <c r="C29" s="43" t="s">
        <v>27</v>
      </c>
      <c r="D29" s="43" t="s">
        <v>25</v>
      </c>
      <c r="E29" s="44">
        <v>43884</v>
      </c>
      <c r="F29" s="43" t="s">
        <v>26</v>
      </c>
      <c r="G29" s="45">
        <v>75000</v>
      </c>
    </row>
    <row r="30" spans="2:10" x14ac:dyDescent="0.25">
      <c r="B30" s="42" t="s">
        <v>38</v>
      </c>
      <c r="C30" s="43" t="s">
        <v>37</v>
      </c>
      <c r="D30" s="43" t="s">
        <v>100</v>
      </c>
      <c r="E30" s="44">
        <v>43500</v>
      </c>
      <c r="F30" s="43" t="s">
        <v>2</v>
      </c>
      <c r="G30" s="45">
        <v>51459.07034645669</v>
      </c>
    </row>
    <row r="31" spans="2:10" x14ac:dyDescent="0.25">
      <c r="B31" s="42" t="s">
        <v>38</v>
      </c>
      <c r="C31" s="43" t="s">
        <v>37</v>
      </c>
      <c r="D31" s="43" t="s">
        <v>101</v>
      </c>
      <c r="E31" s="44">
        <v>43515</v>
      </c>
      <c r="F31" s="43" t="s">
        <v>2</v>
      </c>
      <c r="G31" s="45">
        <v>45669.291338582676</v>
      </c>
    </row>
    <row r="32" spans="2:10" x14ac:dyDescent="0.25">
      <c r="B32" s="42" t="s">
        <v>38</v>
      </c>
      <c r="C32" s="43" t="s">
        <v>37</v>
      </c>
      <c r="D32" s="43" t="s">
        <v>35</v>
      </c>
      <c r="E32" s="44">
        <v>43530</v>
      </c>
      <c r="F32" s="43" t="s">
        <v>2</v>
      </c>
      <c r="G32" s="45">
        <v>63515.905511811026</v>
      </c>
    </row>
    <row r="33" spans="2:7" x14ac:dyDescent="0.25">
      <c r="B33" s="42" t="s">
        <v>38</v>
      </c>
      <c r="C33" s="43" t="s">
        <v>37</v>
      </c>
      <c r="D33" s="43" t="s">
        <v>35</v>
      </c>
      <c r="E33" s="44">
        <v>43534</v>
      </c>
      <c r="F33" s="43" t="s">
        <v>2</v>
      </c>
      <c r="G33" s="45">
        <v>63937.007874015748</v>
      </c>
    </row>
    <row r="34" spans="2:7" x14ac:dyDescent="0.25">
      <c r="B34" s="42" t="s">
        <v>38</v>
      </c>
      <c r="C34" s="43" t="s">
        <v>37</v>
      </c>
      <c r="D34" s="43" t="s">
        <v>35</v>
      </c>
      <c r="E34" s="44">
        <v>43525</v>
      </c>
      <c r="F34" s="43" t="s">
        <v>36</v>
      </c>
      <c r="G34" s="45">
        <v>48118.110236220469</v>
      </c>
    </row>
    <row r="35" spans="2:7" x14ac:dyDescent="0.25">
      <c r="B35" s="42" t="s">
        <v>38</v>
      </c>
      <c r="C35" s="43" t="s">
        <v>37</v>
      </c>
      <c r="D35" s="43" t="s">
        <v>35</v>
      </c>
      <c r="E35" s="44">
        <v>43556</v>
      </c>
      <c r="F35" s="43" t="s">
        <v>36</v>
      </c>
      <c r="G35" s="45">
        <v>50000</v>
      </c>
    </row>
    <row r="36" spans="2:7" x14ac:dyDescent="0.25">
      <c r="B36" s="42" t="s">
        <v>38</v>
      </c>
      <c r="C36" s="43" t="s">
        <v>37</v>
      </c>
      <c r="D36" s="43" t="s">
        <v>35</v>
      </c>
      <c r="E36" s="44">
        <v>43586</v>
      </c>
      <c r="F36" s="43" t="s">
        <v>36</v>
      </c>
      <c r="G36" s="45">
        <v>50000</v>
      </c>
    </row>
    <row r="37" spans="2:7" x14ac:dyDescent="0.25">
      <c r="B37" s="42" t="s">
        <v>38</v>
      </c>
      <c r="C37" s="43" t="s">
        <v>37</v>
      </c>
      <c r="D37" s="43" t="s">
        <v>35</v>
      </c>
      <c r="E37" s="44">
        <v>43617</v>
      </c>
      <c r="F37" s="43" t="s">
        <v>36</v>
      </c>
      <c r="G37" s="45">
        <v>50000</v>
      </c>
    </row>
    <row r="38" spans="2:7" x14ac:dyDescent="0.25">
      <c r="B38" s="42" t="s">
        <v>38</v>
      </c>
      <c r="C38" s="43" t="s">
        <v>37</v>
      </c>
      <c r="D38" s="43" t="s">
        <v>35</v>
      </c>
      <c r="E38" s="44">
        <v>43647</v>
      </c>
      <c r="F38" s="43" t="s">
        <v>36</v>
      </c>
      <c r="G38" s="45">
        <v>50000</v>
      </c>
    </row>
    <row r="39" spans="2:7" x14ac:dyDescent="0.25">
      <c r="B39" s="42" t="s">
        <v>38</v>
      </c>
      <c r="C39" s="43" t="s">
        <v>37</v>
      </c>
      <c r="D39" s="43" t="s">
        <v>35</v>
      </c>
      <c r="E39" s="44">
        <v>43678</v>
      </c>
      <c r="F39" s="43" t="s">
        <v>36</v>
      </c>
      <c r="G39" s="45">
        <v>50000</v>
      </c>
    </row>
    <row r="40" spans="2:7" x14ac:dyDescent="0.25">
      <c r="B40" s="42" t="s">
        <v>38</v>
      </c>
      <c r="C40" s="43" t="s">
        <v>37</v>
      </c>
      <c r="D40" s="43" t="s">
        <v>35</v>
      </c>
      <c r="E40" s="44">
        <v>43709</v>
      </c>
      <c r="F40" s="43" t="s">
        <v>36</v>
      </c>
      <c r="G40" s="45">
        <v>100000</v>
      </c>
    </row>
    <row r="41" spans="2:7" x14ac:dyDescent="0.25">
      <c r="B41" s="42" t="s">
        <v>38</v>
      </c>
      <c r="C41" s="43" t="s">
        <v>37</v>
      </c>
      <c r="D41" s="43" t="s">
        <v>35</v>
      </c>
      <c r="E41" s="44">
        <v>43739</v>
      </c>
      <c r="F41" s="43" t="s">
        <v>36</v>
      </c>
      <c r="G41" s="45">
        <v>50000</v>
      </c>
    </row>
    <row r="42" spans="2:7" x14ac:dyDescent="0.25">
      <c r="B42" s="42" t="s">
        <v>38</v>
      </c>
      <c r="C42" s="43" t="s">
        <v>37</v>
      </c>
      <c r="D42" s="43" t="s">
        <v>35</v>
      </c>
      <c r="E42" s="44">
        <v>43770</v>
      </c>
      <c r="F42" s="43" t="s">
        <v>36</v>
      </c>
      <c r="G42" s="45">
        <v>50000</v>
      </c>
    </row>
    <row r="43" spans="2:7" x14ac:dyDescent="0.25">
      <c r="B43" s="42" t="s">
        <v>38</v>
      </c>
      <c r="C43" s="43" t="s">
        <v>37</v>
      </c>
      <c r="D43" s="43" t="s">
        <v>35</v>
      </c>
      <c r="E43" s="44">
        <v>43800</v>
      </c>
      <c r="F43" s="43" t="s">
        <v>36</v>
      </c>
      <c r="G43" s="45">
        <v>100000</v>
      </c>
    </row>
    <row r="44" spans="2:7" x14ac:dyDescent="0.25">
      <c r="B44" s="42" t="s">
        <v>38</v>
      </c>
      <c r="C44" s="43" t="s">
        <v>37</v>
      </c>
      <c r="D44" s="43" t="s">
        <v>35</v>
      </c>
      <c r="E44" s="44">
        <v>43831</v>
      </c>
      <c r="F44" s="43" t="s">
        <v>36</v>
      </c>
      <c r="G44" s="45">
        <v>50000</v>
      </c>
    </row>
    <row r="45" spans="2:7" x14ac:dyDescent="0.25">
      <c r="B45" s="42" t="s">
        <v>38</v>
      </c>
      <c r="C45" s="43" t="s">
        <v>39</v>
      </c>
      <c r="D45" s="43" t="s">
        <v>102</v>
      </c>
      <c r="E45" s="44">
        <v>43498</v>
      </c>
      <c r="F45" s="43" t="s">
        <v>23</v>
      </c>
      <c r="G45" s="45">
        <v>52966.749952755905</v>
      </c>
    </row>
    <row r="46" spans="2:7" x14ac:dyDescent="0.25">
      <c r="B46" s="42" t="s">
        <v>38</v>
      </c>
      <c r="C46" s="43" t="s">
        <v>39</v>
      </c>
      <c r="D46" s="43" t="s">
        <v>103</v>
      </c>
      <c r="E46" s="44">
        <v>43498</v>
      </c>
      <c r="F46" s="43" t="s">
        <v>23</v>
      </c>
      <c r="G46" s="45">
        <v>50700.668801574808</v>
      </c>
    </row>
    <row r="47" spans="2:7" x14ac:dyDescent="0.25">
      <c r="B47" s="42" t="s">
        <v>38</v>
      </c>
      <c r="C47" s="43" t="s">
        <v>39</v>
      </c>
      <c r="D47" s="43" t="s">
        <v>35</v>
      </c>
      <c r="E47" s="44">
        <v>43497</v>
      </c>
      <c r="F47" s="43" t="s">
        <v>36</v>
      </c>
      <c r="G47" s="45">
        <v>45196.850393700799</v>
      </c>
    </row>
    <row r="48" spans="2:7" x14ac:dyDescent="0.25">
      <c r="B48" s="42" t="s">
        <v>38</v>
      </c>
      <c r="C48" s="43" t="s">
        <v>39</v>
      </c>
      <c r="D48" s="43" t="s">
        <v>35</v>
      </c>
      <c r="E48" s="44">
        <v>43525</v>
      </c>
      <c r="F48" s="43" t="s">
        <v>36</v>
      </c>
      <c r="G48" s="45">
        <v>50000</v>
      </c>
    </row>
    <row r="49" spans="2:7" x14ac:dyDescent="0.25">
      <c r="B49" s="42" t="s">
        <v>38</v>
      </c>
      <c r="C49" s="43" t="s">
        <v>39</v>
      </c>
      <c r="D49" s="43" t="s">
        <v>35</v>
      </c>
      <c r="E49" s="44">
        <v>43556</v>
      </c>
      <c r="F49" s="43" t="s">
        <v>36</v>
      </c>
      <c r="G49" s="45">
        <v>200000</v>
      </c>
    </row>
    <row r="50" spans="2:7" x14ac:dyDescent="0.25">
      <c r="B50" s="42" t="s">
        <v>38</v>
      </c>
      <c r="C50" s="43" t="s">
        <v>39</v>
      </c>
      <c r="D50" s="43" t="s">
        <v>35</v>
      </c>
      <c r="E50" s="44">
        <v>43586</v>
      </c>
      <c r="F50" s="43" t="s">
        <v>36</v>
      </c>
      <c r="G50" s="45">
        <v>200000</v>
      </c>
    </row>
    <row r="51" spans="2:7" x14ac:dyDescent="0.25">
      <c r="B51" s="42" t="s">
        <v>38</v>
      </c>
      <c r="C51" s="43" t="s">
        <v>39</v>
      </c>
      <c r="D51" s="43" t="s">
        <v>35</v>
      </c>
      <c r="E51" s="44">
        <v>43617</v>
      </c>
      <c r="F51" s="43" t="s">
        <v>36</v>
      </c>
      <c r="G51" s="45">
        <v>150000</v>
      </c>
    </row>
    <row r="52" spans="2:7" x14ac:dyDescent="0.25">
      <c r="B52" s="42" t="s">
        <v>38</v>
      </c>
      <c r="C52" s="43" t="s">
        <v>39</v>
      </c>
      <c r="D52" s="43" t="s">
        <v>35</v>
      </c>
      <c r="E52" s="44">
        <v>43647</v>
      </c>
      <c r="F52" s="43" t="s">
        <v>36</v>
      </c>
      <c r="G52" s="45">
        <v>150000</v>
      </c>
    </row>
    <row r="53" spans="2:7" x14ac:dyDescent="0.25">
      <c r="B53" s="42" t="s">
        <v>38</v>
      </c>
      <c r="C53" s="43" t="s">
        <v>39</v>
      </c>
      <c r="D53" s="43" t="s">
        <v>35</v>
      </c>
      <c r="E53" s="44">
        <v>43678</v>
      </c>
      <c r="F53" s="43" t="s">
        <v>36</v>
      </c>
      <c r="G53" s="45">
        <v>250000</v>
      </c>
    </row>
    <row r="54" spans="2:7" x14ac:dyDescent="0.25">
      <c r="B54" s="42" t="s">
        <v>38</v>
      </c>
      <c r="C54" s="43" t="s">
        <v>39</v>
      </c>
      <c r="D54" s="43" t="s">
        <v>35</v>
      </c>
      <c r="E54" s="44">
        <v>43709</v>
      </c>
      <c r="F54" s="43" t="s">
        <v>36</v>
      </c>
      <c r="G54" s="45">
        <v>150000</v>
      </c>
    </row>
    <row r="55" spans="2:7" x14ac:dyDescent="0.25">
      <c r="B55" s="42" t="s">
        <v>38</v>
      </c>
      <c r="C55" s="43" t="s">
        <v>39</v>
      </c>
      <c r="D55" s="43" t="s">
        <v>35</v>
      </c>
      <c r="E55" s="44">
        <v>43739</v>
      </c>
      <c r="F55" s="43" t="s">
        <v>36</v>
      </c>
      <c r="G55" s="45">
        <v>150000</v>
      </c>
    </row>
    <row r="56" spans="2:7" x14ac:dyDescent="0.25">
      <c r="B56" s="42" t="s">
        <v>38</v>
      </c>
      <c r="C56" s="43" t="s">
        <v>39</v>
      </c>
      <c r="D56" s="43" t="s">
        <v>35</v>
      </c>
      <c r="E56" s="44">
        <v>43770</v>
      </c>
      <c r="F56" s="43" t="s">
        <v>36</v>
      </c>
      <c r="G56" s="45">
        <v>50000</v>
      </c>
    </row>
    <row r="57" spans="2:7" x14ac:dyDescent="0.25">
      <c r="B57" s="42" t="s">
        <v>38</v>
      </c>
      <c r="C57" s="43" t="s">
        <v>39</v>
      </c>
      <c r="D57" s="43" t="s">
        <v>35</v>
      </c>
      <c r="E57" s="44">
        <v>43800</v>
      </c>
      <c r="F57" s="43" t="s">
        <v>36</v>
      </c>
      <c r="G57" s="45">
        <v>100000</v>
      </c>
    </row>
    <row r="58" spans="2:7" x14ac:dyDescent="0.25">
      <c r="B58" s="42" t="s">
        <v>38</v>
      </c>
      <c r="C58" s="43" t="s">
        <v>39</v>
      </c>
      <c r="D58" s="43" t="s">
        <v>35</v>
      </c>
      <c r="E58" s="44">
        <v>43831</v>
      </c>
      <c r="F58" s="43" t="s">
        <v>36</v>
      </c>
      <c r="G58" s="45">
        <v>50000</v>
      </c>
    </row>
    <row r="59" spans="2:7" x14ac:dyDescent="0.25">
      <c r="B59" s="42" t="s">
        <v>38</v>
      </c>
      <c r="C59" s="43" t="s">
        <v>40</v>
      </c>
      <c r="D59" s="43" t="s">
        <v>35</v>
      </c>
      <c r="E59" s="44">
        <v>43530</v>
      </c>
      <c r="F59" s="43" t="s">
        <v>36</v>
      </c>
      <c r="G59" s="45">
        <v>50907.79527559055</v>
      </c>
    </row>
    <row r="60" spans="2:7" x14ac:dyDescent="0.25">
      <c r="B60" s="42" t="s">
        <v>38</v>
      </c>
      <c r="C60" s="43" t="s">
        <v>40</v>
      </c>
      <c r="D60" s="43" t="s">
        <v>35</v>
      </c>
      <c r="E60" s="44">
        <v>43543</v>
      </c>
      <c r="F60" s="43" t="s">
        <v>36</v>
      </c>
      <c r="G60" s="45">
        <v>109488.18897637795</v>
      </c>
    </row>
    <row r="61" spans="2:7" x14ac:dyDescent="0.25">
      <c r="B61" s="42" t="s">
        <v>38</v>
      </c>
      <c r="C61" s="43" t="s">
        <v>40</v>
      </c>
      <c r="D61" s="43" t="s">
        <v>35</v>
      </c>
      <c r="E61" s="44">
        <v>43556</v>
      </c>
      <c r="F61" s="43" t="s">
        <v>36</v>
      </c>
      <c r="G61" s="45">
        <v>50000</v>
      </c>
    </row>
    <row r="62" spans="2:7" x14ac:dyDescent="0.25">
      <c r="B62" s="42" t="s">
        <v>38</v>
      </c>
      <c r="C62" s="43" t="s">
        <v>40</v>
      </c>
      <c r="D62" s="43" t="s">
        <v>35</v>
      </c>
      <c r="E62" s="44">
        <v>43586</v>
      </c>
      <c r="F62" s="43" t="s">
        <v>36</v>
      </c>
      <c r="G62" s="45">
        <v>100000</v>
      </c>
    </row>
    <row r="63" spans="2:7" x14ac:dyDescent="0.25">
      <c r="B63" s="42" t="s">
        <v>38</v>
      </c>
      <c r="C63" s="43" t="s">
        <v>40</v>
      </c>
      <c r="D63" s="43" t="s">
        <v>35</v>
      </c>
      <c r="E63" s="44">
        <v>43617</v>
      </c>
      <c r="F63" s="43" t="s">
        <v>36</v>
      </c>
      <c r="G63" s="45">
        <v>50000</v>
      </c>
    </row>
    <row r="64" spans="2:7" x14ac:dyDescent="0.25">
      <c r="B64" s="42" t="s">
        <v>38</v>
      </c>
      <c r="C64" s="43" t="s">
        <v>40</v>
      </c>
      <c r="D64" s="43" t="s">
        <v>35</v>
      </c>
      <c r="E64" s="44">
        <v>43647</v>
      </c>
      <c r="F64" s="43" t="s">
        <v>36</v>
      </c>
      <c r="G64" s="45">
        <v>100000</v>
      </c>
    </row>
    <row r="65" spans="2:7" x14ac:dyDescent="0.25">
      <c r="B65" s="42" t="s">
        <v>38</v>
      </c>
      <c r="C65" s="43" t="s">
        <v>40</v>
      </c>
      <c r="D65" s="43" t="s">
        <v>35</v>
      </c>
      <c r="E65" s="44">
        <v>43678</v>
      </c>
      <c r="F65" s="43" t="s">
        <v>36</v>
      </c>
      <c r="G65" s="45">
        <v>50000</v>
      </c>
    </row>
    <row r="66" spans="2:7" x14ac:dyDescent="0.25">
      <c r="B66" s="42" t="s">
        <v>38</v>
      </c>
      <c r="C66" s="43" t="s">
        <v>40</v>
      </c>
      <c r="D66" s="43" t="s">
        <v>35</v>
      </c>
      <c r="E66" s="44">
        <v>43709</v>
      </c>
      <c r="F66" s="43" t="s">
        <v>36</v>
      </c>
      <c r="G66" s="45">
        <v>50000</v>
      </c>
    </row>
    <row r="67" spans="2:7" x14ac:dyDescent="0.25">
      <c r="B67" s="42" t="s">
        <v>38</v>
      </c>
      <c r="C67" s="43" t="s">
        <v>40</v>
      </c>
      <c r="D67" s="43" t="s">
        <v>35</v>
      </c>
      <c r="E67" s="44">
        <v>43739</v>
      </c>
      <c r="F67" s="43" t="s">
        <v>36</v>
      </c>
      <c r="G67" s="45">
        <v>100000</v>
      </c>
    </row>
    <row r="68" spans="2:7" x14ac:dyDescent="0.25">
      <c r="B68" s="42" t="s">
        <v>38</v>
      </c>
      <c r="C68" s="43" t="s">
        <v>40</v>
      </c>
      <c r="D68" s="43" t="s">
        <v>35</v>
      </c>
      <c r="E68" s="44">
        <v>43770</v>
      </c>
      <c r="F68" s="43" t="s">
        <v>36</v>
      </c>
      <c r="G68" s="45">
        <v>50000</v>
      </c>
    </row>
    <row r="69" spans="2:7" x14ac:dyDescent="0.25">
      <c r="B69" s="42" t="s">
        <v>38</v>
      </c>
      <c r="C69" s="43" t="s">
        <v>40</v>
      </c>
      <c r="D69" s="43" t="s">
        <v>35</v>
      </c>
      <c r="E69" s="44">
        <v>43800</v>
      </c>
      <c r="F69" s="43" t="s">
        <v>36</v>
      </c>
      <c r="G69" s="45">
        <v>100000</v>
      </c>
    </row>
    <row r="70" spans="2:7" x14ac:dyDescent="0.25">
      <c r="B70" s="42" t="s">
        <v>38</v>
      </c>
      <c r="C70" s="43" t="s">
        <v>40</v>
      </c>
      <c r="D70" s="43" t="s">
        <v>35</v>
      </c>
      <c r="E70" s="44">
        <v>43831</v>
      </c>
      <c r="F70" s="43" t="s">
        <v>36</v>
      </c>
      <c r="G70" s="45">
        <v>50000</v>
      </c>
    </row>
    <row r="71" spans="2:7" x14ac:dyDescent="0.25">
      <c r="B71" s="42" t="s">
        <v>38</v>
      </c>
      <c r="C71" s="43" t="s">
        <v>41</v>
      </c>
      <c r="D71" s="43" t="s">
        <v>104</v>
      </c>
      <c r="E71" s="44">
        <v>43498</v>
      </c>
      <c r="F71" s="43" t="s">
        <v>2</v>
      </c>
      <c r="G71" s="45">
        <v>72075.777952755903</v>
      </c>
    </row>
    <row r="72" spans="2:7" x14ac:dyDescent="0.25">
      <c r="B72" s="42" t="s">
        <v>38</v>
      </c>
      <c r="C72" s="43" t="s">
        <v>41</v>
      </c>
      <c r="D72" s="43" t="s">
        <v>105</v>
      </c>
      <c r="E72" s="44">
        <v>43510</v>
      </c>
      <c r="F72" s="43" t="s">
        <v>2</v>
      </c>
      <c r="G72" s="45">
        <v>47755.905511811026</v>
      </c>
    </row>
    <row r="73" spans="2:7" x14ac:dyDescent="0.25">
      <c r="B73" s="42" t="s">
        <v>38</v>
      </c>
      <c r="C73" s="43" t="s">
        <v>41</v>
      </c>
      <c r="D73" s="43" t="s">
        <v>35</v>
      </c>
      <c r="E73" s="44">
        <v>43528</v>
      </c>
      <c r="F73" s="43" t="s">
        <v>36</v>
      </c>
      <c r="G73" s="45">
        <v>64246.414645669291</v>
      </c>
    </row>
    <row r="74" spans="2:7" x14ac:dyDescent="0.25">
      <c r="B74" s="42" t="s">
        <v>38</v>
      </c>
      <c r="C74" s="43" t="s">
        <v>41</v>
      </c>
      <c r="D74" s="43" t="s">
        <v>35</v>
      </c>
      <c r="E74" s="44">
        <v>43525</v>
      </c>
      <c r="F74" s="43" t="s">
        <v>36</v>
      </c>
      <c r="G74" s="45">
        <v>47133.858267716532</v>
      </c>
    </row>
    <row r="75" spans="2:7" x14ac:dyDescent="0.25">
      <c r="B75" s="42" t="s">
        <v>38</v>
      </c>
      <c r="C75" s="43" t="s">
        <v>41</v>
      </c>
      <c r="D75" s="43" t="s">
        <v>35</v>
      </c>
      <c r="E75" s="44">
        <v>43556</v>
      </c>
      <c r="F75" s="43" t="s">
        <v>36</v>
      </c>
      <c r="G75" s="45">
        <v>100000</v>
      </c>
    </row>
    <row r="76" spans="2:7" x14ac:dyDescent="0.25">
      <c r="B76" s="42" t="s">
        <v>38</v>
      </c>
      <c r="C76" s="43" t="s">
        <v>41</v>
      </c>
      <c r="D76" s="43" t="s">
        <v>35</v>
      </c>
      <c r="E76" s="44">
        <v>43586</v>
      </c>
      <c r="F76" s="43" t="s">
        <v>36</v>
      </c>
      <c r="G76" s="45">
        <v>250000</v>
      </c>
    </row>
    <row r="77" spans="2:7" x14ac:dyDescent="0.25">
      <c r="B77" s="42" t="s">
        <v>38</v>
      </c>
      <c r="C77" s="43" t="s">
        <v>41</v>
      </c>
      <c r="D77" s="43" t="s">
        <v>35</v>
      </c>
      <c r="E77" s="44">
        <v>43617</v>
      </c>
      <c r="F77" s="43" t="s">
        <v>36</v>
      </c>
      <c r="G77" s="45">
        <v>100000</v>
      </c>
    </row>
    <row r="78" spans="2:7" x14ac:dyDescent="0.25">
      <c r="B78" s="42" t="s">
        <v>38</v>
      </c>
      <c r="C78" s="43" t="s">
        <v>41</v>
      </c>
      <c r="D78" s="43" t="s">
        <v>35</v>
      </c>
      <c r="E78" s="44">
        <v>43647</v>
      </c>
      <c r="F78" s="43" t="s">
        <v>36</v>
      </c>
      <c r="G78" s="45">
        <v>100000</v>
      </c>
    </row>
    <row r="79" spans="2:7" x14ac:dyDescent="0.25">
      <c r="B79" s="42" t="s">
        <v>38</v>
      </c>
      <c r="C79" s="43" t="s">
        <v>41</v>
      </c>
      <c r="D79" s="43" t="s">
        <v>35</v>
      </c>
      <c r="E79" s="44">
        <v>43678</v>
      </c>
      <c r="F79" s="43" t="s">
        <v>36</v>
      </c>
      <c r="G79" s="45">
        <v>200000</v>
      </c>
    </row>
    <row r="80" spans="2:7" x14ac:dyDescent="0.25">
      <c r="B80" s="42" t="s">
        <v>38</v>
      </c>
      <c r="C80" s="43" t="s">
        <v>41</v>
      </c>
      <c r="D80" s="43" t="s">
        <v>35</v>
      </c>
      <c r="E80" s="44">
        <v>43709</v>
      </c>
      <c r="F80" s="43" t="s">
        <v>36</v>
      </c>
      <c r="G80" s="45">
        <v>200000</v>
      </c>
    </row>
    <row r="81" spans="2:7" x14ac:dyDescent="0.25">
      <c r="B81" s="42" t="s">
        <v>38</v>
      </c>
      <c r="C81" s="43" t="s">
        <v>41</v>
      </c>
      <c r="D81" s="43" t="s">
        <v>35</v>
      </c>
      <c r="E81" s="44">
        <v>43739</v>
      </c>
      <c r="F81" s="43" t="s">
        <v>36</v>
      </c>
      <c r="G81" s="45">
        <v>50000</v>
      </c>
    </row>
    <row r="82" spans="2:7" x14ac:dyDescent="0.25">
      <c r="B82" s="42" t="s">
        <v>38</v>
      </c>
      <c r="C82" s="43" t="s">
        <v>41</v>
      </c>
      <c r="D82" s="43" t="s">
        <v>35</v>
      </c>
      <c r="E82" s="44">
        <v>43770</v>
      </c>
      <c r="F82" s="43" t="s">
        <v>36</v>
      </c>
      <c r="G82" s="45">
        <v>200000</v>
      </c>
    </row>
    <row r="83" spans="2:7" x14ac:dyDescent="0.25">
      <c r="B83" s="42" t="s">
        <v>38</v>
      </c>
      <c r="C83" s="43" t="s">
        <v>41</v>
      </c>
      <c r="D83" s="43" t="s">
        <v>35</v>
      </c>
      <c r="E83" s="44">
        <v>43800</v>
      </c>
      <c r="F83" s="43" t="s">
        <v>36</v>
      </c>
      <c r="G83" s="45">
        <v>100000</v>
      </c>
    </row>
    <row r="84" spans="2:7" x14ac:dyDescent="0.25">
      <c r="B84" s="42" t="s">
        <v>38</v>
      </c>
      <c r="C84" s="43" t="s">
        <v>41</v>
      </c>
      <c r="D84" s="43" t="s">
        <v>35</v>
      </c>
      <c r="E84" s="44">
        <v>43831</v>
      </c>
      <c r="F84" s="43" t="s">
        <v>36</v>
      </c>
      <c r="G84" s="45">
        <v>100000</v>
      </c>
    </row>
    <row r="85" spans="2:7" x14ac:dyDescent="0.25">
      <c r="B85" s="42" t="s">
        <v>38</v>
      </c>
      <c r="C85" s="43" t="s">
        <v>42</v>
      </c>
      <c r="D85" s="43" t="s">
        <v>106</v>
      </c>
      <c r="E85" s="44">
        <v>43504</v>
      </c>
      <c r="F85" s="43" t="s">
        <v>34</v>
      </c>
      <c r="G85" s="45">
        <v>69724.4094488189</v>
      </c>
    </row>
    <row r="86" spans="2:7" x14ac:dyDescent="0.25">
      <c r="B86" s="42" t="s">
        <v>38</v>
      </c>
      <c r="C86" s="43" t="s">
        <v>42</v>
      </c>
      <c r="D86" s="43" t="s">
        <v>107</v>
      </c>
      <c r="E86" s="44">
        <v>43499</v>
      </c>
      <c r="F86" s="43" t="s">
        <v>2</v>
      </c>
      <c r="G86" s="45">
        <v>66765.755905511818</v>
      </c>
    </row>
    <row r="87" spans="2:7" x14ac:dyDescent="0.25">
      <c r="B87" s="42" t="s">
        <v>38</v>
      </c>
      <c r="C87" s="43" t="s">
        <v>42</v>
      </c>
      <c r="D87" s="43" t="s">
        <v>108</v>
      </c>
      <c r="E87" s="44">
        <v>43505</v>
      </c>
      <c r="F87" s="43" t="s">
        <v>2</v>
      </c>
      <c r="G87" s="45">
        <v>70346.437165354335</v>
      </c>
    </row>
    <row r="88" spans="2:7" x14ac:dyDescent="0.25">
      <c r="B88" s="42" t="s">
        <v>38</v>
      </c>
      <c r="C88" s="43" t="s">
        <v>42</v>
      </c>
      <c r="D88" s="43" t="s">
        <v>35</v>
      </c>
      <c r="E88" s="44">
        <v>43530</v>
      </c>
      <c r="F88" s="43" t="s">
        <v>2</v>
      </c>
      <c r="G88" s="45">
        <v>72842.51968503937</v>
      </c>
    </row>
    <row r="89" spans="2:7" x14ac:dyDescent="0.25">
      <c r="B89" s="42" t="s">
        <v>38</v>
      </c>
      <c r="C89" s="43" t="s">
        <v>42</v>
      </c>
      <c r="D89" s="43" t="s">
        <v>35</v>
      </c>
      <c r="E89" s="44">
        <v>43543</v>
      </c>
      <c r="F89" s="43" t="s">
        <v>2</v>
      </c>
      <c r="G89" s="45">
        <v>63937.007874015748</v>
      </c>
    </row>
    <row r="90" spans="2:7" x14ac:dyDescent="0.25">
      <c r="B90" s="42" t="s">
        <v>38</v>
      </c>
      <c r="C90" s="43" t="s">
        <v>42</v>
      </c>
      <c r="D90" s="43" t="s">
        <v>35</v>
      </c>
      <c r="E90" s="44">
        <v>43556</v>
      </c>
      <c r="F90" s="43" t="s">
        <v>36</v>
      </c>
      <c r="G90" s="45">
        <v>150000</v>
      </c>
    </row>
    <row r="91" spans="2:7" x14ac:dyDescent="0.25">
      <c r="B91" s="42" t="s">
        <v>38</v>
      </c>
      <c r="C91" s="43" t="s">
        <v>42</v>
      </c>
      <c r="D91" s="43" t="s">
        <v>35</v>
      </c>
      <c r="E91" s="44">
        <v>43586</v>
      </c>
      <c r="F91" s="43" t="s">
        <v>36</v>
      </c>
      <c r="G91" s="45">
        <v>150000</v>
      </c>
    </row>
    <row r="92" spans="2:7" x14ac:dyDescent="0.25">
      <c r="B92" s="42" t="s">
        <v>38</v>
      </c>
      <c r="C92" s="43" t="s">
        <v>42</v>
      </c>
      <c r="D92" s="43" t="s">
        <v>35</v>
      </c>
      <c r="E92" s="44">
        <v>43617</v>
      </c>
      <c r="F92" s="43" t="s">
        <v>36</v>
      </c>
      <c r="G92" s="45">
        <v>150000</v>
      </c>
    </row>
    <row r="93" spans="2:7" x14ac:dyDescent="0.25">
      <c r="B93" s="42" t="s">
        <v>38</v>
      </c>
      <c r="C93" s="43" t="s">
        <v>42</v>
      </c>
      <c r="D93" s="43" t="s">
        <v>35</v>
      </c>
      <c r="E93" s="44">
        <v>43647</v>
      </c>
      <c r="F93" s="43" t="s">
        <v>36</v>
      </c>
      <c r="G93" s="45">
        <v>50000</v>
      </c>
    </row>
    <row r="94" spans="2:7" x14ac:dyDescent="0.25">
      <c r="B94" s="42" t="s">
        <v>38</v>
      </c>
      <c r="C94" s="43" t="s">
        <v>42</v>
      </c>
      <c r="D94" s="43" t="s">
        <v>35</v>
      </c>
      <c r="E94" s="44">
        <v>43678</v>
      </c>
      <c r="F94" s="43" t="s">
        <v>36</v>
      </c>
      <c r="G94" s="45">
        <v>200000</v>
      </c>
    </row>
    <row r="95" spans="2:7" x14ac:dyDescent="0.25">
      <c r="B95" s="42" t="s">
        <v>38</v>
      </c>
      <c r="C95" s="43" t="s">
        <v>42</v>
      </c>
      <c r="D95" s="43" t="s">
        <v>35</v>
      </c>
      <c r="E95" s="44">
        <v>43709</v>
      </c>
      <c r="F95" s="43" t="s">
        <v>36</v>
      </c>
      <c r="G95" s="45">
        <v>150000</v>
      </c>
    </row>
    <row r="96" spans="2:7" x14ac:dyDescent="0.25">
      <c r="B96" s="42" t="s">
        <v>38</v>
      </c>
      <c r="C96" s="43" t="s">
        <v>42</v>
      </c>
      <c r="D96" s="43" t="s">
        <v>35</v>
      </c>
      <c r="E96" s="44">
        <v>43739</v>
      </c>
      <c r="F96" s="43" t="s">
        <v>36</v>
      </c>
      <c r="G96" s="45">
        <v>50000</v>
      </c>
    </row>
    <row r="97" spans="2:7" x14ac:dyDescent="0.25">
      <c r="B97" s="42" t="s">
        <v>38</v>
      </c>
      <c r="C97" s="43" t="s">
        <v>42</v>
      </c>
      <c r="D97" s="43" t="s">
        <v>35</v>
      </c>
      <c r="E97" s="44">
        <v>43770</v>
      </c>
      <c r="F97" s="43" t="s">
        <v>36</v>
      </c>
      <c r="G97" s="45">
        <v>150000</v>
      </c>
    </row>
    <row r="98" spans="2:7" x14ac:dyDescent="0.25">
      <c r="B98" s="42" t="s">
        <v>38</v>
      </c>
      <c r="C98" s="43" t="s">
        <v>42</v>
      </c>
      <c r="D98" s="43" t="s">
        <v>35</v>
      </c>
      <c r="E98" s="44">
        <v>43800</v>
      </c>
      <c r="F98" s="43" t="s">
        <v>36</v>
      </c>
      <c r="G98" s="45">
        <v>200000</v>
      </c>
    </row>
    <row r="99" spans="2:7" ht="15.75" thickBot="1" x14ac:dyDescent="0.3">
      <c r="B99" s="46" t="s">
        <v>38</v>
      </c>
      <c r="C99" s="47" t="s">
        <v>42</v>
      </c>
      <c r="D99" s="47" t="s">
        <v>35</v>
      </c>
      <c r="E99" s="48">
        <v>43831</v>
      </c>
      <c r="F99" s="47" t="s">
        <v>36</v>
      </c>
      <c r="G99" s="49">
        <v>50000</v>
      </c>
    </row>
    <row r="100" spans="2:7" x14ac:dyDescent="0.25">
      <c r="C100" s="4"/>
      <c r="D100" s="4"/>
      <c r="E100" s="6"/>
      <c r="F100" s="4"/>
      <c r="G100" s="5"/>
    </row>
    <row r="101" spans="2:7" x14ac:dyDescent="0.25">
      <c r="C101" s="4"/>
      <c r="D101" s="4"/>
      <c r="E101" s="6"/>
      <c r="F101" s="4"/>
      <c r="G101" s="5"/>
    </row>
    <row r="102" spans="2:7" x14ac:dyDescent="0.25">
      <c r="C102" s="4"/>
      <c r="D102" s="4"/>
      <c r="E102" s="6"/>
      <c r="F102" s="4"/>
      <c r="G102" s="5"/>
    </row>
    <row r="103" spans="2:7" x14ac:dyDescent="0.25">
      <c r="C103" s="4"/>
      <c r="D103" s="4"/>
      <c r="E103" s="6"/>
      <c r="F103" s="4"/>
      <c r="G103" s="5"/>
    </row>
    <row r="104" spans="2:7" x14ac:dyDescent="0.25">
      <c r="C104" s="4"/>
      <c r="D104" s="4"/>
      <c r="E104" s="6"/>
      <c r="F104" s="4"/>
      <c r="G104" s="5"/>
    </row>
    <row r="105" spans="2:7" x14ac:dyDescent="0.25">
      <c r="C105" s="4"/>
      <c r="D105" s="4"/>
      <c r="E105" s="6"/>
      <c r="F105" s="4"/>
      <c r="G105" s="5"/>
    </row>
    <row r="106" spans="2:7" x14ac:dyDescent="0.25">
      <c r="C106" s="4"/>
      <c r="D106" s="4"/>
      <c r="E106" s="6"/>
      <c r="F106" s="4"/>
      <c r="G106" s="5"/>
    </row>
    <row r="107" spans="2:7" x14ac:dyDescent="0.25">
      <c r="C107" s="4"/>
      <c r="D107" s="4"/>
      <c r="E107" s="6"/>
      <c r="F107" s="4"/>
      <c r="G107" s="5"/>
    </row>
    <row r="108" spans="2:7" x14ac:dyDescent="0.25">
      <c r="C108" s="4"/>
      <c r="D108" s="4"/>
      <c r="E108" s="6"/>
      <c r="F108" s="4"/>
      <c r="G108" s="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BA16-3850-49F5-B8FA-82A869BD18E0}">
  <sheetPr codeName="Hoja3"/>
  <dimension ref="A1:H24"/>
  <sheetViews>
    <sheetView showGridLines="0" workbookViewId="0">
      <pane ySplit="4" topLeftCell="A5" activePane="bottomLeft" state="frozen"/>
      <selection pane="bottomLeft" activeCell="B18" sqref="B18:G23"/>
    </sheetView>
  </sheetViews>
  <sheetFormatPr baseColWidth="10" defaultRowHeight="15" x14ac:dyDescent="0.25"/>
  <cols>
    <col min="2" max="2" width="10.42578125" bestFit="1" customWidth="1"/>
    <col min="3" max="3" width="19.42578125" bestFit="1" customWidth="1"/>
    <col min="4" max="4" width="11.5703125" bestFit="1" customWidth="1"/>
    <col min="5" max="5" width="19.42578125" bestFit="1" customWidth="1"/>
    <col min="6" max="6" width="17.7109375" bestFit="1" customWidth="1"/>
    <col min="7" max="7" width="16.42578125" bestFit="1" customWidth="1"/>
  </cols>
  <sheetData>
    <row r="1" spans="1:7" ht="21" x14ac:dyDescent="0.25">
      <c r="A1" s="58" t="s">
        <v>50</v>
      </c>
      <c r="B1" s="58"/>
      <c r="C1" s="58"/>
      <c r="D1" s="58"/>
      <c r="E1" s="58"/>
    </row>
    <row r="3" spans="1:7" ht="15.75" thickBot="1" x14ac:dyDescent="0.3"/>
    <row r="4" spans="1:7" ht="29.25" thickBot="1" x14ac:dyDescent="0.3">
      <c r="B4" s="23" t="s">
        <v>52</v>
      </c>
      <c r="C4" s="11" t="s">
        <v>29</v>
      </c>
      <c r="D4" s="11" t="s">
        <v>9</v>
      </c>
      <c r="E4" s="11" t="s">
        <v>30</v>
      </c>
      <c r="F4" s="11" t="s">
        <v>31</v>
      </c>
      <c r="G4" s="12" t="s">
        <v>32</v>
      </c>
    </row>
    <row r="5" spans="1:7" x14ac:dyDescent="0.25">
      <c r="B5" s="15" t="s">
        <v>14</v>
      </c>
      <c r="C5" s="16" t="s">
        <v>45</v>
      </c>
      <c r="D5" s="16">
        <v>43510</v>
      </c>
      <c r="E5" s="17" t="s">
        <v>33</v>
      </c>
      <c r="F5" s="24">
        <v>76.208568749999998</v>
      </c>
      <c r="G5" s="39" t="s">
        <v>44</v>
      </c>
    </row>
    <row r="6" spans="1:7" x14ac:dyDescent="0.25">
      <c r="B6" s="15" t="s">
        <v>14</v>
      </c>
      <c r="C6" s="16" t="s">
        <v>46</v>
      </c>
      <c r="D6" s="16">
        <v>43539</v>
      </c>
      <c r="E6" s="17" t="s">
        <v>46</v>
      </c>
      <c r="F6" s="24">
        <v>88.740644500000002</v>
      </c>
      <c r="G6" s="39" t="s">
        <v>43</v>
      </c>
    </row>
    <row r="7" spans="1:7" x14ac:dyDescent="0.25">
      <c r="B7" s="15" t="s">
        <v>14</v>
      </c>
      <c r="C7" s="16" t="s">
        <v>47</v>
      </c>
      <c r="D7" s="16">
        <v>43567</v>
      </c>
      <c r="E7" s="17" t="s">
        <v>47</v>
      </c>
      <c r="F7" s="24">
        <v>83.998778000000001</v>
      </c>
      <c r="G7" s="39" t="s">
        <v>48</v>
      </c>
    </row>
    <row r="8" spans="1:7" x14ac:dyDescent="0.25">
      <c r="B8" s="15" t="s">
        <v>14</v>
      </c>
      <c r="C8" s="16" t="s">
        <v>47</v>
      </c>
      <c r="D8" s="16">
        <v>43609</v>
      </c>
      <c r="E8" s="17" t="s">
        <v>47</v>
      </c>
      <c r="F8" s="24">
        <v>76.208568749999998</v>
      </c>
      <c r="G8" s="39" t="s">
        <v>44</v>
      </c>
    </row>
    <row r="9" spans="1:7" x14ac:dyDescent="0.25">
      <c r="B9" s="15" t="s">
        <v>14</v>
      </c>
      <c r="C9" s="16" t="s">
        <v>47</v>
      </c>
      <c r="D9" s="16">
        <v>43631</v>
      </c>
      <c r="E9" s="17" t="s">
        <v>47</v>
      </c>
      <c r="F9" s="24">
        <v>88.740644500000002</v>
      </c>
      <c r="G9" s="39" t="s">
        <v>43</v>
      </c>
    </row>
    <row r="10" spans="1:7" x14ac:dyDescent="0.25">
      <c r="B10" s="15" t="s">
        <v>14</v>
      </c>
      <c r="C10" s="16" t="s">
        <v>47</v>
      </c>
      <c r="D10" s="16">
        <v>43660</v>
      </c>
      <c r="E10" s="17" t="s">
        <v>47</v>
      </c>
      <c r="F10" s="24">
        <v>76.208568749999998</v>
      </c>
      <c r="G10" s="39" t="s">
        <v>44</v>
      </c>
    </row>
    <row r="11" spans="1:7" x14ac:dyDescent="0.25">
      <c r="B11" s="15" t="s">
        <v>14</v>
      </c>
      <c r="C11" s="16" t="s">
        <v>47</v>
      </c>
      <c r="D11" s="16">
        <v>43670</v>
      </c>
      <c r="E11" s="17" t="s">
        <v>47</v>
      </c>
      <c r="F11" s="24">
        <v>54.19276</v>
      </c>
      <c r="G11" s="39" t="s">
        <v>43</v>
      </c>
    </row>
    <row r="12" spans="1:7" x14ac:dyDescent="0.25">
      <c r="B12" s="15" t="s">
        <v>14</v>
      </c>
      <c r="C12" s="16" t="s">
        <v>47</v>
      </c>
      <c r="D12" s="16">
        <v>43693</v>
      </c>
      <c r="E12" s="17" t="s">
        <v>47</v>
      </c>
      <c r="F12" s="24">
        <v>76.208568749999998</v>
      </c>
      <c r="G12" s="39" t="s">
        <v>44</v>
      </c>
    </row>
    <row r="13" spans="1:7" x14ac:dyDescent="0.25">
      <c r="B13" s="15" t="s">
        <v>14</v>
      </c>
      <c r="C13" s="16" t="s">
        <v>47</v>
      </c>
      <c r="D13" s="16">
        <v>43707</v>
      </c>
      <c r="E13" s="17" t="s">
        <v>47</v>
      </c>
      <c r="F13" s="24">
        <v>76.208568749999998</v>
      </c>
      <c r="G13" s="39" t="s">
        <v>44</v>
      </c>
    </row>
    <row r="14" spans="1:7" x14ac:dyDescent="0.25">
      <c r="B14" s="15" t="s">
        <v>14</v>
      </c>
      <c r="C14" s="16" t="s">
        <v>47</v>
      </c>
      <c r="D14" s="16">
        <v>43728</v>
      </c>
      <c r="E14" s="17" t="s">
        <v>47</v>
      </c>
      <c r="F14" s="24">
        <v>88.740644500000002</v>
      </c>
      <c r="G14" s="39" t="s">
        <v>43</v>
      </c>
    </row>
    <row r="15" spans="1:7" x14ac:dyDescent="0.25">
      <c r="B15" s="15" t="s">
        <v>14</v>
      </c>
      <c r="C15" s="16" t="s">
        <v>47</v>
      </c>
      <c r="D15" s="16">
        <v>43756</v>
      </c>
      <c r="E15" s="17" t="s">
        <v>47</v>
      </c>
      <c r="F15" s="24">
        <v>22.154460926460001</v>
      </c>
      <c r="G15" s="39" t="s">
        <v>49</v>
      </c>
    </row>
    <row r="16" spans="1:7" x14ac:dyDescent="0.25">
      <c r="B16" s="15" t="s">
        <v>14</v>
      </c>
      <c r="C16" s="16" t="s">
        <v>47</v>
      </c>
      <c r="D16" s="16">
        <v>43788</v>
      </c>
      <c r="E16" s="17" t="s">
        <v>47</v>
      </c>
      <c r="F16" s="24">
        <v>89.418053999999998</v>
      </c>
      <c r="G16" s="39" t="s">
        <v>43</v>
      </c>
    </row>
    <row r="17" spans="2:8" x14ac:dyDescent="0.25">
      <c r="B17" s="15" t="s">
        <v>14</v>
      </c>
      <c r="C17" s="16" t="s">
        <v>47</v>
      </c>
      <c r="D17" s="16">
        <v>43822</v>
      </c>
      <c r="E17" s="17" t="s">
        <v>47</v>
      </c>
      <c r="F17" s="24">
        <v>76.208568749999998</v>
      </c>
      <c r="G17" s="39" t="s">
        <v>44</v>
      </c>
    </row>
    <row r="18" spans="2:8" x14ac:dyDescent="0.25">
      <c r="B18" s="15" t="s">
        <v>83</v>
      </c>
      <c r="C18" s="16" t="s">
        <v>84</v>
      </c>
      <c r="D18" s="16">
        <v>43586</v>
      </c>
      <c r="E18" s="17" t="s">
        <v>90</v>
      </c>
      <c r="F18" s="24">
        <v>83.166300000000007</v>
      </c>
      <c r="G18" s="39" t="s">
        <v>91</v>
      </c>
      <c r="H18" s="35"/>
    </row>
    <row r="19" spans="2:8" x14ac:dyDescent="0.25">
      <c r="B19" s="15" t="s">
        <v>83</v>
      </c>
      <c r="C19" s="16" t="s">
        <v>85</v>
      </c>
      <c r="D19" s="16">
        <v>43633</v>
      </c>
      <c r="E19" s="17" t="s">
        <v>90</v>
      </c>
      <c r="F19" s="24">
        <v>88.584299999999999</v>
      </c>
      <c r="G19" s="39" t="s">
        <v>91</v>
      </c>
      <c r="H19" s="35"/>
    </row>
    <row r="20" spans="2:8" x14ac:dyDescent="0.25">
      <c r="B20" s="15" t="s">
        <v>83</v>
      </c>
      <c r="C20" s="16" t="s">
        <v>86</v>
      </c>
      <c r="D20" s="16">
        <v>43656</v>
      </c>
      <c r="E20" s="17" t="s">
        <v>90</v>
      </c>
      <c r="F20" s="24">
        <v>94.814999999999998</v>
      </c>
      <c r="G20" s="39" t="s">
        <v>91</v>
      </c>
      <c r="H20" s="35"/>
    </row>
    <row r="21" spans="2:8" x14ac:dyDescent="0.25">
      <c r="B21" s="15" t="s">
        <v>83</v>
      </c>
      <c r="C21" s="16" t="s">
        <v>87</v>
      </c>
      <c r="D21" s="16">
        <v>43665</v>
      </c>
      <c r="E21" s="17" t="s">
        <v>90</v>
      </c>
      <c r="F21" s="24">
        <v>88.584299999999999</v>
      </c>
      <c r="G21" s="39" t="s">
        <v>91</v>
      </c>
      <c r="H21" s="35"/>
    </row>
    <row r="22" spans="2:8" x14ac:dyDescent="0.25">
      <c r="B22" s="15" t="s">
        <v>83</v>
      </c>
      <c r="C22" s="16" t="s">
        <v>88</v>
      </c>
      <c r="D22" s="16">
        <v>43722</v>
      </c>
      <c r="E22" s="17" t="s">
        <v>90</v>
      </c>
      <c r="F22" s="24">
        <v>82.624499999999998</v>
      </c>
      <c r="G22" s="39" t="s">
        <v>91</v>
      </c>
      <c r="H22" s="35"/>
    </row>
    <row r="23" spans="2:8" ht="15.75" thickBot="1" x14ac:dyDescent="0.3">
      <c r="B23" s="19" t="s">
        <v>83</v>
      </c>
      <c r="C23" s="20" t="s">
        <v>89</v>
      </c>
      <c r="D23" s="20">
        <v>43766</v>
      </c>
      <c r="E23" s="21" t="s">
        <v>90</v>
      </c>
      <c r="F23" s="25">
        <v>85.962502709999995</v>
      </c>
      <c r="G23" s="40" t="s">
        <v>91</v>
      </c>
      <c r="H23" s="35"/>
    </row>
    <row r="24" spans="2:8" x14ac:dyDescent="0.25">
      <c r="H24" s="3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BE46-546A-4B4B-BE9F-0AC25CFD9DB9}">
  <sheetPr codeName="Hoja4"/>
  <dimension ref="A1:F69"/>
  <sheetViews>
    <sheetView showGridLines="0" zoomScaleNormal="100" workbookViewId="0">
      <selection activeCell="B38" sqref="B38"/>
    </sheetView>
  </sheetViews>
  <sheetFormatPr baseColWidth="10" defaultRowHeight="15" x14ac:dyDescent="0.25"/>
  <cols>
    <col min="2" max="2" width="9.140625" bestFit="1" customWidth="1"/>
    <col min="3" max="3" width="10.42578125" bestFit="1" customWidth="1"/>
    <col min="4" max="4" width="9.5703125" bestFit="1" customWidth="1"/>
    <col min="5" max="5" width="17.85546875" bestFit="1" customWidth="1"/>
    <col min="6" max="6" width="13" customWidth="1"/>
  </cols>
  <sheetData>
    <row r="1" spans="1:6" ht="21" x14ac:dyDescent="0.25">
      <c r="A1" s="58" t="s">
        <v>92</v>
      </c>
      <c r="B1" s="58"/>
      <c r="C1" s="58"/>
      <c r="D1" s="58"/>
      <c r="E1" s="58"/>
      <c r="F1" s="58"/>
    </row>
    <row r="3" spans="1:6" ht="15.75" thickBot="1" x14ac:dyDescent="0.3"/>
    <row r="4" spans="1:6" ht="15.75" thickBot="1" x14ac:dyDescent="0.3">
      <c r="B4" s="23" t="s">
        <v>52</v>
      </c>
      <c r="C4" s="11" t="s">
        <v>93</v>
      </c>
      <c r="D4" s="11" t="s">
        <v>13</v>
      </c>
      <c r="E4" s="36" t="s">
        <v>94</v>
      </c>
      <c r="F4" s="17"/>
    </row>
    <row r="5" spans="1:6" x14ac:dyDescent="0.25">
      <c r="B5" s="15" t="s">
        <v>83</v>
      </c>
      <c r="C5" s="16">
        <v>43497</v>
      </c>
      <c r="D5" s="17" t="s">
        <v>28</v>
      </c>
      <c r="E5" s="37">
        <v>2920000</v>
      </c>
    </row>
    <row r="6" spans="1:6" x14ac:dyDescent="0.25">
      <c r="B6" s="15" t="s">
        <v>83</v>
      </c>
      <c r="C6" s="16">
        <v>43498</v>
      </c>
      <c r="D6" s="17" t="s">
        <v>28</v>
      </c>
      <c r="E6" s="37">
        <v>2700000</v>
      </c>
    </row>
    <row r="7" spans="1:6" x14ac:dyDescent="0.25">
      <c r="B7" s="15" t="s">
        <v>83</v>
      </c>
      <c r="C7" s="16">
        <v>43499</v>
      </c>
      <c r="D7" s="17" t="s">
        <v>28</v>
      </c>
      <c r="E7" s="37">
        <v>2470000</v>
      </c>
    </row>
    <row r="8" spans="1:6" x14ac:dyDescent="0.25">
      <c r="B8" s="15" t="s">
        <v>83</v>
      </c>
      <c r="C8" s="16">
        <v>43500</v>
      </c>
      <c r="D8" s="17" t="s">
        <v>28</v>
      </c>
      <c r="E8" s="37">
        <v>2920000</v>
      </c>
    </row>
    <row r="9" spans="1:6" x14ac:dyDescent="0.25">
      <c r="B9" s="15" t="s">
        <v>83</v>
      </c>
      <c r="C9" s="16">
        <v>43501</v>
      </c>
      <c r="D9" s="17" t="s">
        <v>28</v>
      </c>
      <c r="E9" s="37">
        <v>2920000</v>
      </c>
    </row>
    <row r="10" spans="1:6" x14ac:dyDescent="0.25">
      <c r="B10" s="15" t="s">
        <v>83</v>
      </c>
      <c r="C10" s="16">
        <v>43502</v>
      </c>
      <c r="D10" s="17" t="s">
        <v>28</v>
      </c>
      <c r="E10" s="37">
        <v>2920000</v>
      </c>
    </row>
    <row r="11" spans="1:6" x14ac:dyDescent="0.25">
      <c r="B11" s="15" t="s">
        <v>83</v>
      </c>
      <c r="C11" s="16">
        <v>43503</v>
      </c>
      <c r="D11" s="17" t="s">
        <v>28</v>
      </c>
      <c r="E11" s="37">
        <v>2920000</v>
      </c>
    </row>
    <row r="12" spans="1:6" x14ac:dyDescent="0.25">
      <c r="B12" s="15" t="s">
        <v>83</v>
      </c>
      <c r="C12" s="16">
        <v>43504</v>
      </c>
      <c r="D12" s="17" t="s">
        <v>28</v>
      </c>
      <c r="E12" s="37">
        <v>2920000</v>
      </c>
    </row>
    <row r="13" spans="1:6" x14ac:dyDescent="0.25">
      <c r="B13" s="15" t="s">
        <v>83</v>
      </c>
      <c r="C13" s="16">
        <v>43505</v>
      </c>
      <c r="D13" s="17" t="s">
        <v>28</v>
      </c>
      <c r="E13" s="37">
        <v>2700000</v>
      </c>
    </row>
    <row r="14" spans="1:6" x14ac:dyDescent="0.25">
      <c r="B14" s="15" t="s">
        <v>83</v>
      </c>
      <c r="C14" s="16">
        <v>43506</v>
      </c>
      <c r="D14" s="17" t="s">
        <v>28</v>
      </c>
      <c r="E14" s="37">
        <v>2470000</v>
      </c>
    </row>
    <row r="15" spans="1:6" x14ac:dyDescent="0.25">
      <c r="B15" s="15" t="s">
        <v>83</v>
      </c>
      <c r="C15" s="16">
        <v>43507</v>
      </c>
      <c r="D15" s="17" t="s">
        <v>28</v>
      </c>
      <c r="E15" s="37">
        <v>2920000</v>
      </c>
    </row>
    <row r="16" spans="1:6" x14ac:dyDescent="0.25">
      <c r="B16" s="15" t="s">
        <v>83</v>
      </c>
      <c r="C16" s="16">
        <v>43508</v>
      </c>
      <c r="D16" s="17" t="s">
        <v>28</v>
      </c>
      <c r="E16" s="37">
        <v>2920000</v>
      </c>
    </row>
    <row r="17" spans="2:5" x14ac:dyDescent="0.25">
      <c r="B17" s="15" t="s">
        <v>83</v>
      </c>
      <c r="C17" s="16">
        <v>43509</v>
      </c>
      <c r="D17" s="17" t="s">
        <v>28</v>
      </c>
      <c r="E17" s="37">
        <v>2920000</v>
      </c>
    </row>
    <row r="18" spans="2:5" x14ac:dyDescent="0.25">
      <c r="B18" s="15" t="s">
        <v>83</v>
      </c>
      <c r="C18" s="16">
        <v>43510</v>
      </c>
      <c r="D18" s="17" t="s">
        <v>28</v>
      </c>
      <c r="E18" s="37">
        <v>2920000</v>
      </c>
    </row>
    <row r="19" spans="2:5" x14ac:dyDescent="0.25">
      <c r="B19" s="15" t="s">
        <v>83</v>
      </c>
      <c r="C19" s="16">
        <v>43511</v>
      </c>
      <c r="D19" s="17" t="s">
        <v>28</v>
      </c>
      <c r="E19" s="37">
        <v>2920000</v>
      </c>
    </row>
    <row r="20" spans="2:5" x14ac:dyDescent="0.25">
      <c r="B20" s="15" t="s">
        <v>83</v>
      </c>
      <c r="C20" s="16">
        <v>43512</v>
      </c>
      <c r="D20" s="17" t="s">
        <v>28</v>
      </c>
      <c r="E20" s="37">
        <v>2700000</v>
      </c>
    </row>
    <row r="21" spans="2:5" x14ac:dyDescent="0.25">
      <c r="B21" s="15" t="s">
        <v>83</v>
      </c>
      <c r="C21" s="16">
        <v>43513</v>
      </c>
      <c r="D21" s="17" t="s">
        <v>28</v>
      </c>
      <c r="E21" s="37">
        <v>2470000</v>
      </c>
    </row>
    <row r="22" spans="2:5" x14ac:dyDescent="0.25">
      <c r="B22" s="15" t="s">
        <v>83</v>
      </c>
      <c r="C22" s="16">
        <v>43514</v>
      </c>
      <c r="D22" s="17" t="s">
        <v>28</v>
      </c>
      <c r="E22" s="37">
        <v>2920000</v>
      </c>
    </row>
    <row r="23" spans="2:5" x14ac:dyDescent="0.25">
      <c r="B23" s="15" t="s">
        <v>83</v>
      </c>
      <c r="C23" s="16">
        <v>43515</v>
      </c>
      <c r="D23" s="17" t="s">
        <v>28</v>
      </c>
      <c r="E23" s="37">
        <v>2920000</v>
      </c>
    </row>
    <row r="24" spans="2:5" x14ac:dyDescent="0.25">
      <c r="B24" s="15" t="s">
        <v>83</v>
      </c>
      <c r="C24" s="16">
        <v>43516</v>
      </c>
      <c r="D24" s="17" t="s">
        <v>28</v>
      </c>
      <c r="E24" s="37">
        <v>2920000</v>
      </c>
    </row>
    <row r="25" spans="2:5" x14ac:dyDescent="0.25">
      <c r="B25" s="15" t="s">
        <v>83</v>
      </c>
      <c r="C25" s="16">
        <v>43517</v>
      </c>
      <c r="D25" s="17" t="s">
        <v>28</v>
      </c>
      <c r="E25" s="37">
        <v>2920000</v>
      </c>
    </row>
    <row r="26" spans="2:5" x14ac:dyDescent="0.25">
      <c r="B26" s="15" t="s">
        <v>83</v>
      </c>
      <c r="C26" s="16">
        <v>43518</v>
      </c>
      <c r="D26" s="17" t="s">
        <v>28</v>
      </c>
      <c r="E26" s="37">
        <v>2920000</v>
      </c>
    </row>
    <row r="27" spans="2:5" x14ac:dyDescent="0.25">
      <c r="B27" s="15" t="s">
        <v>83</v>
      </c>
      <c r="C27" s="16">
        <v>43519</v>
      </c>
      <c r="D27" s="17" t="s">
        <v>28</v>
      </c>
      <c r="E27" s="37">
        <v>2700000</v>
      </c>
    </row>
    <row r="28" spans="2:5" x14ac:dyDescent="0.25">
      <c r="B28" s="15" t="s">
        <v>83</v>
      </c>
      <c r="C28" s="16">
        <v>43520</v>
      </c>
      <c r="D28" s="17" t="s">
        <v>28</v>
      </c>
      <c r="E28" s="37">
        <v>2470000</v>
      </c>
    </row>
    <row r="29" spans="2:5" x14ac:dyDescent="0.25">
      <c r="B29" s="15" t="s">
        <v>83</v>
      </c>
      <c r="C29" s="16">
        <v>43521</v>
      </c>
      <c r="D29" s="17" t="s">
        <v>28</v>
      </c>
      <c r="E29" s="37">
        <v>2920000</v>
      </c>
    </row>
    <row r="30" spans="2:5" x14ac:dyDescent="0.25">
      <c r="B30" s="15" t="s">
        <v>83</v>
      </c>
      <c r="C30" s="16">
        <v>43522</v>
      </c>
      <c r="D30" s="17" t="s">
        <v>28</v>
      </c>
      <c r="E30" s="37">
        <v>2920000</v>
      </c>
    </row>
    <row r="31" spans="2:5" x14ac:dyDescent="0.25">
      <c r="B31" s="15" t="s">
        <v>83</v>
      </c>
      <c r="C31" s="16">
        <v>43523</v>
      </c>
      <c r="D31" s="17" t="s">
        <v>28</v>
      </c>
      <c r="E31" s="37">
        <v>2920000</v>
      </c>
    </row>
    <row r="32" spans="2:5" x14ac:dyDescent="0.25">
      <c r="B32" s="15" t="s">
        <v>83</v>
      </c>
      <c r="C32" s="16">
        <v>43524</v>
      </c>
      <c r="D32" s="17" t="s">
        <v>28</v>
      </c>
      <c r="E32" s="37">
        <v>2920000</v>
      </c>
    </row>
    <row r="33" spans="2:5" x14ac:dyDescent="0.25">
      <c r="B33" s="15" t="s">
        <v>83</v>
      </c>
      <c r="C33" s="16">
        <v>43525</v>
      </c>
      <c r="D33" s="17" t="s">
        <v>28</v>
      </c>
      <c r="E33" s="37">
        <v>2920000</v>
      </c>
    </row>
    <row r="34" spans="2:5" x14ac:dyDescent="0.25">
      <c r="B34" s="15" t="s">
        <v>83</v>
      </c>
      <c r="C34" s="16">
        <v>43526</v>
      </c>
      <c r="D34" s="17" t="s">
        <v>28</v>
      </c>
      <c r="E34" s="37">
        <v>2920000</v>
      </c>
    </row>
    <row r="35" spans="2:5" x14ac:dyDescent="0.25">
      <c r="B35" s="15" t="s">
        <v>83</v>
      </c>
      <c r="C35" s="16">
        <v>43527</v>
      </c>
      <c r="D35" s="17" t="s">
        <v>28</v>
      </c>
      <c r="E35" s="37">
        <v>2470000</v>
      </c>
    </row>
    <row r="36" spans="2:5" x14ac:dyDescent="0.25">
      <c r="B36" s="15" t="s">
        <v>83</v>
      </c>
      <c r="C36" s="16">
        <v>43528</v>
      </c>
      <c r="D36" s="17" t="s">
        <v>28</v>
      </c>
      <c r="E36" s="37">
        <v>2920000</v>
      </c>
    </row>
    <row r="37" spans="2:5" x14ac:dyDescent="0.25">
      <c r="B37" s="15" t="s">
        <v>83</v>
      </c>
      <c r="C37" s="16">
        <v>43529</v>
      </c>
      <c r="D37" s="17" t="s">
        <v>28</v>
      </c>
      <c r="E37" s="37">
        <v>2920000</v>
      </c>
    </row>
    <row r="38" spans="2:5" x14ac:dyDescent="0.25">
      <c r="B38" s="15" t="s">
        <v>83</v>
      </c>
      <c r="C38" s="16">
        <v>43530</v>
      </c>
      <c r="D38" s="17" t="s">
        <v>28</v>
      </c>
      <c r="E38" s="37">
        <v>2920000</v>
      </c>
    </row>
    <row r="39" spans="2:5" x14ac:dyDescent="0.25">
      <c r="B39" s="15" t="s">
        <v>83</v>
      </c>
      <c r="C39" s="16">
        <v>43531</v>
      </c>
      <c r="D39" s="17" t="s">
        <v>28</v>
      </c>
      <c r="E39" s="37">
        <v>2920000</v>
      </c>
    </row>
    <row r="40" spans="2:5" x14ac:dyDescent="0.25">
      <c r="B40" s="15" t="s">
        <v>83</v>
      </c>
      <c r="C40" s="16">
        <v>43532</v>
      </c>
      <c r="D40" s="17" t="s">
        <v>28</v>
      </c>
      <c r="E40" s="37">
        <v>2920000</v>
      </c>
    </row>
    <row r="41" spans="2:5" x14ac:dyDescent="0.25">
      <c r="B41" s="15" t="s">
        <v>83</v>
      </c>
      <c r="C41" s="16">
        <v>43533</v>
      </c>
      <c r="D41" s="17" t="s">
        <v>28</v>
      </c>
      <c r="E41" s="37">
        <v>2920000</v>
      </c>
    </row>
    <row r="42" spans="2:5" x14ac:dyDescent="0.25">
      <c r="B42" s="15" t="s">
        <v>83</v>
      </c>
      <c r="C42" s="16">
        <v>43534</v>
      </c>
      <c r="D42" s="17" t="s">
        <v>28</v>
      </c>
      <c r="E42" s="37">
        <v>2470000</v>
      </c>
    </row>
    <row r="43" spans="2:5" x14ac:dyDescent="0.25">
      <c r="B43" s="15" t="s">
        <v>83</v>
      </c>
      <c r="C43" s="16">
        <v>43535</v>
      </c>
      <c r="D43" s="17" t="s">
        <v>28</v>
      </c>
      <c r="E43" s="37">
        <v>2920000</v>
      </c>
    </row>
    <row r="44" spans="2:5" x14ac:dyDescent="0.25">
      <c r="B44" s="15" t="s">
        <v>83</v>
      </c>
      <c r="C44" s="16">
        <v>43536</v>
      </c>
      <c r="D44" s="17" t="s">
        <v>28</v>
      </c>
      <c r="E44" s="37">
        <v>2920000</v>
      </c>
    </row>
    <row r="45" spans="2:5" x14ac:dyDescent="0.25">
      <c r="B45" s="15" t="s">
        <v>83</v>
      </c>
      <c r="C45" s="16">
        <v>43537</v>
      </c>
      <c r="D45" s="17" t="s">
        <v>28</v>
      </c>
      <c r="E45" s="37">
        <v>2920000</v>
      </c>
    </row>
    <row r="46" spans="2:5" x14ac:dyDescent="0.25">
      <c r="B46" s="15" t="s">
        <v>83</v>
      </c>
      <c r="C46" s="16">
        <v>43538</v>
      </c>
      <c r="D46" s="17" t="s">
        <v>28</v>
      </c>
      <c r="E46" s="37">
        <v>2920000</v>
      </c>
    </row>
    <row r="47" spans="2:5" x14ac:dyDescent="0.25">
      <c r="B47" s="15" t="s">
        <v>83</v>
      </c>
      <c r="C47" s="16">
        <v>43539</v>
      </c>
      <c r="D47" s="17" t="s">
        <v>28</v>
      </c>
      <c r="E47" s="37">
        <v>2920000</v>
      </c>
    </row>
    <row r="48" spans="2:5" x14ac:dyDescent="0.25">
      <c r="B48" s="15" t="s">
        <v>83</v>
      </c>
      <c r="C48" s="16">
        <v>43540</v>
      </c>
      <c r="D48" s="17" t="s">
        <v>28</v>
      </c>
      <c r="E48" s="37">
        <v>2920000</v>
      </c>
    </row>
    <row r="49" spans="2:5" x14ac:dyDescent="0.25">
      <c r="B49" s="15" t="s">
        <v>83</v>
      </c>
      <c r="C49" s="16">
        <v>43541</v>
      </c>
      <c r="D49" s="17" t="s">
        <v>28</v>
      </c>
      <c r="E49" s="37">
        <v>2470000</v>
      </c>
    </row>
    <row r="50" spans="2:5" x14ac:dyDescent="0.25">
      <c r="B50" s="15" t="s">
        <v>83</v>
      </c>
      <c r="C50" s="16">
        <v>43542</v>
      </c>
      <c r="D50" s="17" t="s">
        <v>28</v>
      </c>
      <c r="E50" s="37">
        <v>2920000</v>
      </c>
    </row>
    <row r="51" spans="2:5" x14ac:dyDescent="0.25">
      <c r="B51" s="15" t="s">
        <v>83</v>
      </c>
      <c r="C51" s="16">
        <v>43543</v>
      </c>
      <c r="D51" s="17" t="s">
        <v>28</v>
      </c>
      <c r="E51" s="37">
        <v>2920000</v>
      </c>
    </row>
    <row r="52" spans="2:5" x14ac:dyDescent="0.25">
      <c r="B52" s="15" t="s">
        <v>83</v>
      </c>
      <c r="C52" s="16">
        <v>43544</v>
      </c>
      <c r="D52" s="17" t="s">
        <v>28</v>
      </c>
      <c r="E52" s="37">
        <v>2920000</v>
      </c>
    </row>
    <row r="53" spans="2:5" x14ac:dyDescent="0.25">
      <c r="B53" s="15" t="s">
        <v>83</v>
      </c>
      <c r="C53" s="16">
        <v>43545</v>
      </c>
      <c r="D53" s="17" t="s">
        <v>28</v>
      </c>
      <c r="E53" s="37">
        <v>2920000</v>
      </c>
    </row>
    <row r="54" spans="2:5" x14ac:dyDescent="0.25">
      <c r="B54" s="15" t="s">
        <v>83</v>
      </c>
      <c r="C54" s="16">
        <v>43546</v>
      </c>
      <c r="D54" s="17" t="s">
        <v>28</v>
      </c>
      <c r="E54" s="37">
        <v>2920000</v>
      </c>
    </row>
    <row r="55" spans="2:5" x14ac:dyDescent="0.25">
      <c r="B55" s="15" t="s">
        <v>83</v>
      </c>
      <c r="C55" s="16">
        <v>43547</v>
      </c>
      <c r="D55" s="17" t="s">
        <v>28</v>
      </c>
      <c r="E55" s="37">
        <v>2920000</v>
      </c>
    </row>
    <row r="56" spans="2:5" x14ac:dyDescent="0.25">
      <c r="B56" s="15" t="s">
        <v>83</v>
      </c>
      <c r="C56" s="16">
        <v>43548</v>
      </c>
      <c r="D56" s="17" t="s">
        <v>28</v>
      </c>
      <c r="E56" s="37">
        <v>2470000</v>
      </c>
    </row>
    <row r="57" spans="2:5" x14ac:dyDescent="0.25">
      <c r="B57" s="15" t="s">
        <v>83</v>
      </c>
      <c r="C57" s="16">
        <v>43549</v>
      </c>
      <c r="D57" s="17" t="s">
        <v>28</v>
      </c>
      <c r="E57" s="37">
        <v>2920000</v>
      </c>
    </row>
    <row r="58" spans="2:5" x14ac:dyDescent="0.25">
      <c r="B58" s="15" t="s">
        <v>83</v>
      </c>
      <c r="C58" s="16">
        <v>43550</v>
      </c>
      <c r="D58" s="17" t="s">
        <v>28</v>
      </c>
      <c r="E58" s="37">
        <v>2920000</v>
      </c>
    </row>
    <row r="59" spans="2:5" x14ac:dyDescent="0.25">
      <c r="B59" s="15" t="s">
        <v>83</v>
      </c>
      <c r="C59" s="16">
        <v>43551</v>
      </c>
      <c r="D59" s="17" t="s">
        <v>28</v>
      </c>
      <c r="E59" s="37">
        <v>2920000</v>
      </c>
    </row>
    <row r="60" spans="2:5" x14ac:dyDescent="0.25">
      <c r="B60" s="15" t="s">
        <v>83</v>
      </c>
      <c r="C60" s="16">
        <v>43552</v>
      </c>
      <c r="D60" s="17" t="s">
        <v>28</v>
      </c>
      <c r="E60" s="18"/>
    </row>
    <row r="61" spans="2:5" x14ac:dyDescent="0.25">
      <c r="B61" s="15" t="s">
        <v>83</v>
      </c>
      <c r="C61" s="16">
        <v>43553</v>
      </c>
      <c r="D61" s="17" t="s">
        <v>28</v>
      </c>
      <c r="E61" s="18"/>
    </row>
    <row r="62" spans="2:5" x14ac:dyDescent="0.25">
      <c r="B62" s="15" t="s">
        <v>83</v>
      </c>
      <c r="C62" s="16">
        <v>43554</v>
      </c>
      <c r="D62" s="17" t="s">
        <v>28</v>
      </c>
      <c r="E62" s="18"/>
    </row>
    <row r="63" spans="2:5" x14ac:dyDescent="0.25">
      <c r="B63" s="15" t="s">
        <v>83</v>
      </c>
      <c r="C63" s="16">
        <v>43555</v>
      </c>
      <c r="D63" s="17" t="s">
        <v>28</v>
      </c>
      <c r="E63" s="18"/>
    </row>
    <row r="64" spans="2:5" x14ac:dyDescent="0.25">
      <c r="B64" s="15" t="s">
        <v>83</v>
      </c>
      <c r="C64" s="16">
        <v>43556</v>
      </c>
      <c r="D64" s="17" t="s">
        <v>28</v>
      </c>
      <c r="E64" s="18"/>
    </row>
    <row r="65" spans="2:5" x14ac:dyDescent="0.25">
      <c r="B65" s="15" t="s">
        <v>83</v>
      </c>
      <c r="C65" s="16">
        <v>43557</v>
      </c>
      <c r="D65" s="17" t="s">
        <v>28</v>
      </c>
      <c r="E65" s="18"/>
    </row>
    <row r="66" spans="2:5" x14ac:dyDescent="0.25">
      <c r="B66" s="15" t="s">
        <v>83</v>
      </c>
      <c r="C66" s="16">
        <v>43558</v>
      </c>
      <c r="D66" s="17" t="s">
        <v>28</v>
      </c>
      <c r="E66" s="18"/>
    </row>
    <row r="67" spans="2:5" x14ac:dyDescent="0.25">
      <c r="B67" s="15" t="s">
        <v>83</v>
      </c>
      <c r="C67" s="16">
        <v>43559</v>
      </c>
      <c r="D67" s="17" t="s">
        <v>28</v>
      </c>
      <c r="E67" s="18"/>
    </row>
    <row r="68" spans="2:5" x14ac:dyDescent="0.25">
      <c r="B68" s="15" t="s">
        <v>83</v>
      </c>
      <c r="C68" s="16">
        <v>43560</v>
      </c>
      <c r="D68" s="17" t="s">
        <v>28</v>
      </c>
      <c r="E68" s="18"/>
    </row>
    <row r="69" spans="2:5" x14ac:dyDescent="0.25">
      <c r="B69" s="15" t="s">
        <v>83</v>
      </c>
      <c r="C69" s="16">
        <v>43561</v>
      </c>
      <c r="D69" s="17" t="s">
        <v>28</v>
      </c>
      <c r="E69" s="18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35C1-FEF7-45A5-BB9F-4F5A376951D5}">
  <dimension ref="A1:Z63"/>
  <sheetViews>
    <sheetView showGridLines="0" topLeftCell="A34" zoomScale="70" zoomScaleNormal="70" workbookViewId="0">
      <selection activeCell="B2" sqref="B2:Y38"/>
    </sheetView>
  </sheetViews>
  <sheetFormatPr baseColWidth="10" defaultColWidth="0" defaultRowHeight="16.5" customHeight="1" zeroHeight="1" x14ac:dyDescent="0.25"/>
  <cols>
    <col min="1" max="1" width="3" style="70" customWidth="1"/>
    <col min="2" max="2" width="16.42578125" style="70" customWidth="1"/>
    <col min="3" max="4" width="13.7109375" style="70" customWidth="1"/>
    <col min="5" max="5" width="15.85546875" style="70" bestFit="1" customWidth="1"/>
    <col min="6" max="6" width="15.28515625" style="70" bestFit="1" customWidth="1"/>
    <col min="7" max="7" width="22.28515625" style="70" bestFit="1" customWidth="1"/>
    <col min="8" max="8" width="27.7109375" style="70" customWidth="1"/>
    <col min="9" max="9" width="70.7109375" style="70" customWidth="1"/>
    <col min="10" max="10" width="4.28515625" style="70" customWidth="1"/>
    <col min="11" max="11" width="30.140625" style="70" customWidth="1"/>
    <col min="12" max="16" width="18.7109375" style="70" customWidth="1"/>
    <col min="17" max="17" width="70.7109375" style="70" customWidth="1"/>
    <col min="18" max="18" width="2.85546875" style="70" customWidth="1"/>
    <col min="19" max="24" width="18.7109375" style="70" customWidth="1"/>
    <col min="25" max="25" width="70.7109375" style="70" customWidth="1"/>
    <col min="26" max="26" width="11.42578125" style="70" customWidth="1"/>
    <col min="27" max="16384" width="11.42578125" style="70" hidden="1"/>
  </cols>
  <sheetData>
    <row r="1" spans="2:25" ht="17.25" thickBot="1" x14ac:dyDescent="0.3"/>
    <row r="2" spans="2:25" ht="60.75" customHeight="1" thickBot="1" x14ac:dyDescent="0.3">
      <c r="B2" s="69" t="s">
        <v>155</v>
      </c>
      <c r="C2" s="66" t="s">
        <v>71</v>
      </c>
      <c r="D2" s="65"/>
      <c r="E2" s="65"/>
      <c r="F2" s="65"/>
      <c r="G2" s="103"/>
      <c r="K2" s="86"/>
    </row>
    <row r="3" spans="2:25" ht="60.75" customHeight="1" thickBot="1" x14ac:dyDescent="0.3">
      <c r="B3" s="69"/>
      <c r="C3" s="69"/>
      <c r="D3" s="69"/>
      <c r="E3" s="107" t="s">
        <v>156</v>
      </c>
      <c r="F3" s="107"/>
      <c r="G3" s="84" t="s">
        <v>157</v>
      </c>
      <c r="H3" s="94"/>
      <c r="K3" s="86"/>
    </row>
    <row r="4" spans="2:25" ht="21" customHeight="1" x14ac:dyDescent="0.25">
      <c r="B4" s="104" t="str">
        <f>+CONCATENATE("DISPONIBILIDAD DIARIA ",UPPER(TEXT(EDATE(43466,1),"mmmm"))," ",YEAR(43466)," [Mm3]")</f>
        <v>DISPONIBILIDAD DIARIA FEBRERO 2019 [Mm3]</v>
      </c>
      <c r="C4" s="104"/>
      <c r="D4" s="104"/>
      <c r="E4" s="104"/>
      <c r="F4" s="87"/>
      <c r="G4" s="87"/>
      <c r="H4" s="87"/>
      <c r="I4" s="87"/>
      <c r="K4" s="104" t="str">
        <f>+CONCATENATE("DISPONIBILIDAD SEMANAL",UPPER(TEXT(EDATE(43466,2),"mmmm"))," ",YEAR(43466)," [Mm3]")</f>
        <v>DISPONIBILIDAD SEMANALMARZO 2019 [Mm3]</v>
      </c>
      <c r="L4" s="104"/>
      <c r="M4" s="104"/>
      <c r="N4" s="104"/>
      <c r="O4" s="67"/>
      <c r="P4" s="67"/>
      <c r="Q4" s="67"/>
      <c r="S4" s="104" t="str">
        <f>+CONCATENATE("DISPONIBILIDAD MENSUAL ",UPPER(TEXT(EDATE(43466,3),"mmmm"))," ",YEAR(EDATE(43466,3)),," A ",UPPER(TEXT(EDATE(43466,12),"mmmm"))," ",YEAR(EDATE(43466,12))," [Mm3]")</f>
        <v>DISPONIBILIDAD MENSUAL ABRIL 2019 A ENERO 2020 [Mm3]</v>
      </c>
      <c r="T4" s="104"/>
      <c r="U4" s="104"/>
      <c r="V4" s="104"/>
      <c r="W4" s="104"/>
      <c r="X4" s="104"/>
      <c r="Y4" s="104"/>
    </row>
    <row r="5" spans="2:25" ht="21" customHeight="1" x14ac:dyDescent="0.25">
      <c r="B5" s="85"/>
      <c r="C5" s="85"/>
      <c r="D5" s="85"/>
      <c r="E5" s="85"/>
      <c r="F5" s="85"/>
      <c r="G5" s="87"/>
      <c r="H5" s="87"/>
      <c r="I5" s="87"/>
      <c r="K5" s="87"/>
      <c r="L5" s="85"/>
      <c r="M5" s="85"/>
      <c r="N5" s="85"/>
      <c r="O5" s="67"/>
      <c r="P5" s="67"/>
      <c r="Q5" s="67"/>
      <c r="S5" s="85"/>
      <c r="T5" s="85"/>
      <c r="U5" s="85"/>
      <c r="V5" s="85"/>
      <c r="W5" s="85"/>
      <c r="X5" s="85"/>
      <c r="Y5" s="85"/>
    </row>
    <row r="6" spans="2:25" s="68" customFormat="1" ht="70.5" customHeight="1" thickBot="1" x14ac:dyDescent="0.3">
      <c r="B6" s="71" t="s">
        <v>53</v>
      </c>
      <c r="C6" s="71" t="s">
        <v>54</v>
      </c>
      <c r="D6" s="71" t="s">
        <v>158</v>
      </c>
      <c r="E6" s="71" t="s">
        <v>159</v>
      </c>
      <c r="F6" s="71" t="s">
        <v>160</v>
      </c>
      <c r="G6" s="71" t="s">
        <v>161</v>
      </c>
      <c r="H6" s="71" t="s">
        <v>162</v>
      </c>
      <c r="I6" s="71" t="s">
        <v>163</v>
      </c>
      <c r="K6" s="92" t="s">
        <v>164</v>
      </c>
      <c r="L6" s="71" t="s">
        <v>165</v>
      </c>
      <c r="M6" s="71" t="s">
        <v>166</v>
      </c>
      <c r="N6" s="71" t="s">
        <v>160</v>
      </c>
      <c r="O6" s="71" t="s">
        <v>161</v>
      </c>
      <c r="P6" s="71" t="s">
        <v>162</v>
      </c>
      <c r="Q6" s="71" t="s">
        <v>163</v>
      </c>
      <c r="S6" s="71" t="s">
        <v>53</v>
      </c>
      <c r="T6" s="71" t="s">
        <v>54</v>
      </c>
      <c r="U6" s="71" t="s">
        <v>166</v>
      </c>
      <c r="V6" s="71" t="s">
        <v>160</v>
      </c>
      <c r="W6" s="71" t="s">
        <v>161</v>
      </c>
      <c r="X6" s="71" t="s">
        <v>162</v>
      </c>
      <c r="Y6" s="71" t="s">
        <v>163</v>
      </c>
    </row>
    <row r="7" spans="2:25" ht="22.5" customHeight="1" x14ac:dyDescent="0.25">
      <c r="B7" s="88">
        <f t="shared" ref="B7:B34" ca="1" si="0">+IF(D7&lt;&gt;"",YEAR(TODAY()),"")</f>
        <v>2019</v>
      </c>
      <c r="C7" s="75" t="str">
        <f t="shared" ref="C7:C34" si="1">+IF(D7&lt;&gt;"",TEXT(EDATE(43466,1),"mmmm"),"")</f>
        <v>febrero</v>
      </c>
      <c r="D7" s="88">
        <v>1</v>
      </c>
      <c r="E7" s="73">
        <v>1740000</v>
      </c>
      <c r="F7" s="76" t="s">
        <v>167</v>
      </c>
      <c r="G7" s="76" t="s">
        <v>168</v>
      </c>
      <c r="H7" s="76" t="s">
        <v>169</v>
      </c>
      <c r="I7" s="76"/>
      <c r="K7" s="75">
        <f>+DATE(YEAR(EDATE(43466,2)),MONTH(EDATE(43466,2)),1)</f>
        <v>43525</v>
      </c>
      <c r="L7" s="75">
        <f>+K7+6</f>
        <v>43531</v>
      </c>
      <c r="M7" s="73">
        <f>1740000*(L7-K7+1)</f>
        <v>12180000</v>
      </c>
      <c r="N7" s="76" t="s">
        <v>167</v>
      </c>
      <c r="O7" s="76" t="s">
        <v>168</v>
      </c>
      <c r="P7" s="88"/>
      <c r="Q7" s="88"/>
      <c r="S7" s="88">
        <f>+YEAR(EDATE(43466,3))</f>
        <v>2019</v>
      </c>
      <c r="T7" s="75" t="str">
        <f>+TEXT(EDATE(43466,3),"mmmm")</f>
        <v>abril</v>
      </c>
      <c r="U7" s="73">
        <f>1740000*30</f>
        <v>52200000</v>
      </c>
      <c r="V7" s="76" t="s">
        <v>167</v>
      </c>
      <c r="W7" s="76" t="s">
        <v>168</v>
      </c>
      <c r="X7" s="88"/>
      <c r="Y7" s="88"/>
    </row>
    <row r="8" spans="2:25" ht="22.5" customHeight="1" x14ac:dyDescent="0.25">
      <c r="B8" s="76">
        <f t="shared" ca="1" si="0"/>
        <v>2019</v>
      </c>
      <c r="C8" s="75" t="str">
        <f t="shared" si="1"/>
        <v>febrero</v>
      </c>
      <c r="D8" s="88">
        <f t="shared" ref="D8:D34" si="2">+IF(D7+1&lt;=DAY(EOMONTH(43466,1)),D7+1,"")</f>
        <v>2</v>
      </c>
      <c r="E8" s="73">
        <v>1740000</v>
      </c>
      <c r="F8" s="76" t="s">
        <v>167</v>
      </c>
      <c r="G8" s="76" t="s">
        <v>168</v>
      </c>
      <c r="H8" s="76" t="s">
        <v>169</v>
      </c>
      <c r="I8" s="76"/>
      <c r="K8" s="75">
        <f>+$L$7+1</f>
        <v>43532</v>
      </c>
      <c r="L8" s="75">
        <f>+IF(DAY(EOMONTH(43466,2))=28,K8+6,K8+7)</f>
        <v>43539</v>
      </c>
      <c r="M8" s="73">
        <f>1740000*(L8-K8+1)</f>
        <v>13920000</v>
      </c>
      <c r="N8" s="76" t="s">
        <v>167</v>
      </c>
      <c r="O8" s="76" t="s">
        <v>168</v>
      </c>
      <c r="P8" s="88"/>
      <c r="Q8" s="88"/>
      <c r="S8" s="88">
        <f>+YEAR(EDATE(43466,4))</f>
        <v>2019</v>
      </c>
      <c r="T8" s="75" t="str">
        <f>+TEXT(EDATE(43466,4),"mmmm")</f>
        <v>mayo</v>
      </c>
      <c r="U8" s="73"/>
      <c r="V8" s="76"/>
      <c r="W8" s="76"/>
      <c r="X8" s="88"/>
      <c r="Y8" s="88"/>
    </row>
    <row r="9" spans="2:25" ht="22.5" customHeight="1" x14ac:dyDescent="0.25">
      <c r="B9" s="76">
        <f t="shared" ca="1" si="0"/>
        <v>2019</v>
      </c>
      <c r="C9" s="75" t="str">
        <f t="shared" si="1"/>
        <v>febrero</v>
      </c>
      <c r="D9" s="88">
        <f t="shared" si="2"/>
        <v>3</v>
      </c>
      <c r="E9" s="73">
        <v>1740000</v>
      </c>
      <c r="F9" s="76" t="s">
        <v>167</v>
      </c>
      <c r="G9" s="76" t="s">
        <v>168</v>
      </c>
      <c r="H9" s="76" t="s">
        <v>169</v>
      </c>
      <c r="I9" s="76"/>
      <c r="K9" s="75">
        <f>+$L$8+1</f>
        <v>43540</v>
      </c>
      <c r="L9" s="75">
        <f>+IF(DAY(EOMONTH(43466,2))=31,K9+7,K9+6)</f>
        <v>43547</v>
      </c>
      <c r="M9" s="97">
        <f>1740000*(L9-K9+1)</f>
        <v>13920000</v>
      </c>
      <c r="N9" s="76" t="s">
        <v>167</v>
      </c>
      <c r="O9" s="76" t="s">
        <v>168</v>
      </c>
      <c r="P9" s="88"/>
      <c r="Q9" s="88"/>
      <c r="S9" s="88">
        <f>+YEAR(EDATE(43466,5))</f>
        <v>2019</v>
      </c>
      <c r="T9" s="75" t="str">
        <f>+TEXT(EDATE(43466,5),"mmmm")</f>
        <v>junio</v>
      </c>
      <c r="U9" s="73"/>
      <c r="V9" s="76"/>
      <c r="W9" s="76"/>
      <c r="X9" s="88"/>
      <c r="Y9" s="88"/>
    </row>
    <row r="10" spans="2:25" ht="22.5" customHeight="1" thickBot="1" x14ac:dyDescent="0.3">
      <c r="B10" s="76">
        <f t="shared" ca="1" si="0"/>
        <v>2019</v>
      </c>
      <c r="C10" s="75" t="str">
        <f t="shared" si="1"/>
        <v>febrero</v>
      </c>
      <c r="D10" s="88">
        <f t="shared" si="2"/>
        <v>4</v>
      </c>
      <c r="E10" s="73">
        <v>1740000</v>
      </c>
      <c r="F10" s="76" t="s">
        <v>167</v>
      </c>
      <c r="G10" s="76" t="s">
        <v>168</v>
      </c>
      <c r="H10" s="76" t="s">
        <v>169</v>
      </c>
      <c r="I10" s="76"/>
      <c r="K10" s="72">
        <f>+$L$9+1</f>
        <v>43548</v>
      </c>
      <c r="L10" s="72">
        <f>+IF(DAY(EOMONTH(43466,2))=28,K10+6,IF(DAY(EOMONTH(43466,2))=29,K10+6,K10+7))</f>
        <v>43555</v>
      </c>
      <c r="M10" s="98">
        <f>1740000*(L10-K10+1)</f>
        <v>13920000</v>
      </c>
      <c r="N10" s="89" t="s">
        <v>167</v>
      </c>
      <c r="O10" s="89" t="s">
        <v>168</v>
      </c>
      <c r="P10" s="89"/>
      <c r="Q10" s="89"/>
      <c r="S10" s="88">
        <f>+YEAR(EDATE(43466,6))</f>
        <v>2019</v>
      </c>
      <c r="T10" s="75" t="str">
        <f>+TEXT(EDATE(43466,6),"mmmm")</f>
        <v>julio</v>
      </c>
      <c r="U10" s="73"/>
      <c r="V10" s="76"/>
      <c r="W10" s="76"/>
      <c r="X10" s="88"/>
      <c r="Y10" s="88"/>
    </row>
    <row r="11" spans="2:25" ht="22.5" customHeight="1" thickBot="1" x14ac:dyDescent="0.3">
      <c r="B11" s="76">
        <f t="shared" ca="1" si="0"/>
        <v>2019</v>
      </c>
      <c r="C11" s="75" t="str">
        <f t="shared" si="1"/>
        <v>febrero</v>
      </c>
      <c r="D11" s="88">
        <f t="shared" si="2"/>
        <v>5</v>
      </c>
      <c r="E11" s="73">
        <v>1740000</v>
      </c>
      <c r="F11" s="76" t="s">
        <v>167</v>
      </c>
      <c r="G11" s="76" t="s">
        <v>168</v>
      </c>
      <c r="H11" s="76" t="s">
        <v>169</v>
      </c>
      <c r="I11" s="76"/>
      <c r="K11" s="105" t="s">
        <v>170</v>
      </c>
      <c r="L11" s="105"/>
      <c r="M11" s="74">
        <f>+SUM(M7:M10)</f>
        <v>53940000</v>
      </c>
      <c r="S11" s="88">
        <f>+YEAR(EDATE(43466,7))</f>
        <v>2019</v>
      </c>
      <c r="T11" s="75" t="str">
        <f>+TEXT(EDATE(43466,7),"mmmm")</f>
        <v>agosto</v>
      </c>
      <c r="U11" s="73"/>
      <c r="V11" s="76"/>
      <c r="W11" s="76"/>
      <c r="X11" s="88"/>
      <c r="Y11" s="88"/>
    </row>
    <row r="12" spans="2:25" ht="22.5" customHeight="1" x14ac:dyDescent="0.25">
      <c r="B12" s="76">
        <f t="shared" ca="1" si="0"/>
        <v>2019</v>
      </c>
      <c r="C12" s="75" t="str">
        <f t="shared" si="1"/>
        <v>febrero</v>
      </c>
      <c r="D12" s="88">
        <f t="shared" si="2"/>
        <v>6</v>
      </c>
      <c r="E12" s="73">
        <v>1740000</v>
      </c>
      <c r="F12" s="76" t="s">
        <v>167</v>
      </c>
      <c r="G12" s="76" t="s">
        <v>168</v>
      </c>
      <c r="H12" s="76" t="s">
        <v>169</v>
      </c>
      <c r="I12" s="76"/>
      <c r="K12" s="93"/>
      <c r="S12" s="88">
        <f>+YEAR(EDATE(43466,8))</f>
        <v>2019</v>
      </c>
      <c r="T12" s="75" t="str">
        <f>+TEXT(EDATE(43466,8),"mmmm")</f>
        <v>septiembre</v>
      </c>
      <c r="U12" s="73"/>
      <c r="V12" s="76"/>
      <c r="W12" s="76"/>
      <c r="X12" s="88"/>
      <c r="Y12" s="88"/>
    </row>
    <row r="13" spans="2:25" ht="22.5" customHeight="1" x14ac:dyDescent="0.25">
      <c r="B13" s="76">
        <f t="shared" ca="1" si="0"/>
        <v>2019</v>
      </c>
      <c r="C13" s="75" t="str">
        <f t="shared" si="1"/>
        <v>febrero</v>
      </c>
      <c r="D13" s="88">
        <f t="shared" si="2"/>
        <v>7</v>
      </c>
      <c r="E13" s="73">
        <v>1740000</v>
      </c>
      <c r="F13" s="76" t="s">
        <v>167</v>
      </c>
      <c r="G13" s="76" t="s">
        <v>168</v>
      </c>
      <c r="H13" s="76" t="s">
        <v>169</v>
      </c>
      <c r="I13" s="76"/>
      <c r="S13" s="88">
        <f>+YEAR(EDATE(43466,9))</f>
        <v>2019</v>
      </c>
      <c r="T13" s="75" t="str">
        <f>+TEXT(EDATE(43466,9),"mmmm")</f>
        <v>octubre</v>
      </c>
      <c r="U13" s="73"/>
      <c r="V13" s="76"/>
      <c r="W13" s="76"/>
      <c r="X13" s="88"/>
      <c r="Y13" s="88"/>
    </row>
    <row r="14" spans="2:25" ht="22.5" customHeight="1" x14ac:dyDescent="0.25">
      <c r="B14" s="76">
        <f t="shared" ca="1" si="0"/>
        <v>2019</v>
      </c>
      <c r="C14" s="75" t="str">
        <f t="shared" si="1"/>
        <v>febrero</v>
      </c>
      <c r="D14" s="88">
        <f t="shared" si="2"/>
        <v>8</v>
      </c>
      <c r="E14" s="73">
        <v>1740000</v>
      </c>
      <c r="F14" s="76" t="s">
        <v>167</v>
      </c>
      <c r="G14" s="76" t="s">
        <v>168</v>
      </c>
      <c r="H14" s="76" t="s">
        <v>169</v>
      </c>
      <c r="I14" s="76"/>
      <c r="S14" s="88">
        <f>+YEAR(EDATE(43466,10))</f>
        <v>2019</v>
      </c>
      <c r="T14" s="75" t="str">
        <f>+TEXT(EDATE(43466,10),"mmmm")</f>
        <v>noviembre</v>
      </c>
      <c r="U14" s="73"/>
      <c r="V14" s="76"/>
      <c r="W14" s="76"/>
      <c r="X14" s="88"/>
      <c r="Y14" s="88"/>
    </row>
    <row r="15" spans="2:25" ht="22.5" customHeight="1" x14ac:dyDescent="0.25">
      <c r="B15" s="76">
        <f t="shared" ca="1" si="0"/>
        <v>2019</v>
      </c>
      <c r="C15" s="75" t="str">
        <f t="shared" si="1"/>
        <v>febrero</v>
      </c>
      <c r="D15" s="88">
        <f t="shared" si="2"/>
        <v>9</v>
      </c>
      <c r="E15" s="73">
        <v>1740000</v>
      </c>
      <c r="F15" s="76" t="s">
        <v>167</v>
      </c>
      <c r="G15" s="76" t="s">
        <v>168</v>
      </c>
      <c r="H15" s="76" t="s">
        <v>169</v>
      </c>
      <c r="I15" s="76"/>
      <c r="S15" s="88">
        <f>+YEAR(EDATE(43466,11))</f>
        <v>2019</v>
      </c>
      <c r="T15" s="75" t="str">
        <f>+TEXT(EDATE(43466,11),"mmmm")</f>
        <v>diciembre</v>
      </c>
      <c r="U15" s="73"/>
      <c r="V15" s="76"/>
      <c r="W15" s="76"/>
      <c r="X15" s="88"/>
      <c r="Y15" s="88"/>
    </row>
    <row r="16" spans="2:25" ht="22.5" customHeight="1" thickBot="1" x14ac:dyDescent="0.3">
      <c r="B16" s="76">
        <f t="shared" ca="1" si="0"/>
        <v>2019</v>
      </c>
      <c r="C16" s="75" t="str">
        <f t="shared" si="1"/>
        <v>febrero</v>
      </c>
      <c r="D16" s="88">
        <f t="shared" si="2"/>
        <v>10</v>
      </c>
      <c r="E16" s="73">
        <v>1740000</v>
      </c>
      <c r="F16" s="76" t="s">
        <v>167</v>
      </c>
      <c r="G16" s="76" t="s">
        <v>168</v>
      </c>
      <c r="H16" s="76" t="s">
        <v>169</v>
      </c>
      <c r="I16" s="76"/>
      <c r="S16" s="89">
        <f>+YEAR(EDATE(43466,12))</f>
        <v>2020</v>
      </c>
      <c r="T16" s="72" t="str">
        <f>+TEXT(EDATE(43466,12),"mmmm")</f>
        <v>enero</v>
      </c>
      <c r="U16" s="95"/>
      <c r="V16" s="89"/>
      <c r="W16" s="89"/>
      <c r="X16" s="89"/>
      <c r="Y16" s="89"/>
    </row>
    <row r="17" spans="2:21" ht="22.5" customHeight="1" thickBot="1" x14ac:dyDescent="0.3">
      <c r="B17" s="76">
        <f t="shared" ca="1" si="0"/>
        <v>2019</v>
      </c>
      <c r="C17" s="75" t="str">
        <f t="shared" si="1"/>
        <v>febrero</v>
      </c>
      <c r="D17" s="88">
        <f t="shared" si="2"/>
        <v>11</v>
      </c>
      <c r="E17" s="73">
        <v>1740000</v>
      </c>
      <c r="F17" s="76" t="s">
        <v>167</v>
      </c>
      <c r="G17" s="76" t="s">
        <v>168</v>
      </c>
      <c r="H17" s="76" t="s">
        <v>169</v>
      </c>
      <c r="I17" s="76"/>
      <c r="S17" s="105" t="s">
        <v>171</v>
      </c>
      <c r="T17" s="105"/>
      <c r="U17" s="74">
        <f>+SUM(U7:U16)</f>
        <v>52200000</v>
      </c>
    </row>
    <row r="18" spans="2:21" ht="22.5" customHeight="1" x14ac:dyDescent="0.25">
      <c r="B18" s="76">
        <f t="shared" ca="1" si="0"/>
        <v>2019</v>
      </c>
      <c r="C18" s="75" t="str">
        <f t="shared" si="1"/>
        <v>febrero</v>
      </c>
      <c r="D18" s="88">
        <f t="shared" si="2"/>
        <v>12</v>
      </c>
      <c r="E18" s="73">
        <v>1740000</v>
      </c>
      <c r="F18" s="76" t="s">
        <v>167</v>
      </c>
      <c r="G18" s="76" t="s">
        <v>168</v>
      </c>
      <c r="H18" s="76" t="s">
        <v>169</v>
      </c>
      <c r="I18" s="76"/>
    </row>
    <row r="19" spans="2:21" ht="22.5" customHeight="1" x14ac:dyDescent="0.25">
      <c r="B19" s="76">
        <f t="shared" ca="1" si="0"/>
        <v>2019</v>
      </c>
      <c r="C19" s="75" t="str">
        <f t="shared" si="1"/>
        <v>febrero</v>
      </c>
      <c r="D19" s="88">
        <f t="shared" si="2"/>
        <v>13</v>
      </c>
      <c r="E19" s="73">
        <v>1740000</v>
      </c>
      <c r="F19" s="76" t="s">
        <v>167</v>
      </c>
      <c r="G19" s="76" t="s">
        <v>168</v>
      </c>
      <c r="H19" s="76" t="s">
        <v>169</v>
      </c>
      <c r="I19" s="76"/>
    </row>
    <row r="20" spans="2:21" ht="22.5" customHeight="1" x14ac:dyDescent="0.25">
      <c r="B20" s="76">
        <f t="shared" ca="1" si="0"/>
        <v>2019</v>
      </c>
      <c r="C20" s="75" t="str">
        <f t="shared" si="1"/>
        <v>febrero</v>
      </c>
      <c r="D20" s="88">
        <f t="shared" si="2"/>
        <v>14</v>
      </c>
      <c r="E20" s="73">
        <v>1740000</v>
      </c>
      <c r="F20" s="76" t="s">
        <v>167</v>
      </c>
      <c r="G20" s="76" t="s">
        <v>168</v>
      </c>
      <c r="H20" s="76" t="s">
        <v>169</v>
      </c>
      <c r="I20" s="76"/>
    </row>
    <row r="21" spans="2:21" ht="22.5" customHeight="1" x14ac:dyDescent="0.25">
      <c r="B21" s="76">
        <f t="shared" ca="1" si="0"/>
        <v>2019</v>
      </c>
      <c r="C21" s="75" t="str">
        <f t="shared" si="1"/>
        <v>febrero</v>
      </c>
      <c r="D21" s="88">
        <f t="shared" si="2"/>
        <v>15</v>
      </c>
      <c r="E21" s="73">
        <v>1740000</v>
      </c>
      <c r="F21" s="76" t="s">
        <v>167</v>
      </c>
      <c r="G21" s="76" t="s">
        <v>168</v>
      </c>
      <c r="H21" s="76" t="s">
        <v>169</v>
      </c>
      <c r="I21" s="76"/>
    </row>
    <row r="22" spans="2:21" ht="22.5" customHeight="1" x14ac:dyDescent="0.25">
      <c r="B22" s="76">
        <f t="shared" ca="1" si="0"/>
        <v>2019</v>
      </c>
      <c r="C22" s="75" t="str">
        <f t="shared" si="1"/>
        <v>febrero</v>
      </c>
      <c r="D22" s="88">
        <f t="shared" si="2"/>
        <v>16</v>
      </c>
      <c r="E22" s="73">
        <v>1740000</v>
      </c>
      <c r="F22" s="76" t="s">
        <v>167</v>
      </c>
      <c r="G22" s="76" t="s">
        <v>168</v>
      </c>
      <c r="H22" s="76" t="s">
        <v>169</v>
      </c>
      <c r="I22" s="76"/>
    </row>
    <row r="23" spans="2:21" ht="22.5" customHeight="1" x14ac:dyDescent="0.25">
      <c r="B23" s="76">
        <f t="shared" ca="1" si="0"/>
        <v>2019</v>
      </c>
      <c r="C23" s="75" t="str">
        <f t="shared" si="1"/>
        <v>febrero</v>
      </c>
      <c r="D23" s="88">
        <f t="shared" si="2"/>
        <v>17</v>
      </c>
      <c r="E23" s="73">
        <v>1740000</v>
      </c>
      <c r="F23" s="76" t="s">
        <v>167</v>
      </c>
      <c r="G23" s="76" t="s">
        <v>168</v>
      </c>
      <c r="H23" s="76" t="s">
        <v>169</v>
      </c>
      <c r="I23" s="76"/>
    </row>
    <row r="24" spans="2:21" ht="22.5" customHeight="1" x14ac:dyDescent="0.25">
      <c r="B24" s="76">
        <f t="shared" ca="1" si="0"/>
        <v>2019</v>
      </c>
      <c r="C24" s="75" t="str">
        <f t="shared" si="1"/>
        <v>febrero</v>
      </c>
      <c r="D24" s="88">
        <f t="shared" si="2"/>
        <v>18</v>
      </c>
      <c r="E24" s="73">
        <v>1740000</v>
      </c>
      <c r="F24" s="76" t="s">
        <v>167</v>
      </c>
      <c r="G24" s="76" t="s">
        <v>168</v>
      </c>
      <c r="H24" s="76" t="s">
        <v>169</v>
      </c>
      <c r="I24" s="76"/>
    </row>
    <row r="25" spans="2:21" ht="22.5" customHeight="1" x14ac:dyDescent="0.25">
      <c r="B25" s="76">
        <f t="shared" ca="1" si="0"/>
        <v>2019</v>
      </c>
      <c r="C25" s="75" t="str">
        <f t="shared" si="1"/>
        <v>febrero</v>
      </c>
      <c r="D25" s="88">
        <f t="shared" si="2"/>
        <v>19</v>
      </c>
      <c r="E25" s="73">
        <v>1740000</v>
      </c>
      <c r="F25" s="76" t="s">
        <v>167</v>
      </c>
      <c r="G25" s="76" t="s">
        <v>168</v>
      </c>
      <c r="H25" s="76" t="s">
        <v>169</v>
      </c>
      <c r="I25" s="76"/>
    </row>
    <row r="26" spans="2:21" ht="22.5" customHeight="1" x14ac:dyDescent="0.25">
      <c r="B26" s="76">
        <f t="shared" ca="1" si="0"/>
        <v>2019</v>
      </c>
      <c r="C26" s="75" t="str">
        <f t="shared" si="1"/>
        <v>febrero</v>
      </c>
      <c r="D26" s="88">
        <f t="shared" si="2"/>
        <v>20</v>
      </c>
      <c r="E26" s="73">
        <v>1740000</v>
      </c>
      <c r="F26" s="76" t="s">
        <v>167</v>
      </c>
      <c r="G26" s="76" t="s">
        <v>168</v>
      </c>
      <c r="H26" s="76" t="s">
        <v>169</v>
      </c>
      <c r="I26" s="76"/>
    </row>
    <row r="27" spans="2:21" ht="22.5" customHeight="1" x14ac:dyDescent="0.25">
      <c r="B27" s="76">
        <f t="shared" ca="1" si="0"/>
        <v>2019</v>
      </c>
      <c r="C27" s="75" t="str">
        <f t="shared" si="1"/>
        <v>febrero</v>
      </c>
      <c r="D27" s="88">
        <f t="shared" si="2"/>
        <v>21</v>
      </c>
      <c r="E27" s="73">
        <v>1740000</v>
      </c>
      <c r="F27" s="76" t="s">
        <v>167</v>
      </c>
      <c r="G27" s="76" t="s">
        <v>168</v>
      </c>
      <c r="H27" s="76" t="s">
        <v>169</v>
      </c>
      <c r="I27" s="76"/>
    </row>
    <row r="28" spans="2:21" ht="22.5" customHeight="1" x14ac:dyDescent="0.25">
      <c r="B28" s="76">
        <f t="shared" ca="1" si="0"/>
        <v>2019</v>
      </c>
      <c r="C28" s="75" t="str">
        <f t="shared" si="1"/>
        <v>febrero</v>
      </c>
      <c r="D28" s="88">
        <f t="shared" si="2"/>
        <v>22</v>
      </c>
      <c r="E28" s="73">
        <v>1740000</v>
      </c>
      <c r="F28" s="76" t="s">
        <v>167</v>
      </c>
      <c r="G28" s="76" t="s">
        <v>168</v>
      </c>
      <c r="H28" s="76" t="s">
        <v>169</v>
      </c>
      <c r="I28" s="76"/>
    </row>
    <row r="29" spans="2:21" ht="22.5" customHeight="1" x14ac:dyDescent="0.25">
      <c r="B29" s="76">
        <f t="shared" ca="1" si="0"/>
        <v>2019</v>
      </c>
      <c r="C29" s="75" t="str">
        <f t="shared" si="1"/>
        <v>febrero</v>
      </c>
      <c r="D29" s="88">
        <f t="shared" si="2"/>
        <v>23</v>
      </c>
      <c r="E29" s="73">
        <v>1740000</v>
      </c>
      <c r="F29" s="76" t="s">
        <v>167</v>
      </c>
      <c r="G29" s="76" t="s">
        <v>168</v>
      </c>
      <c r="H29" s="76" t="s">
        <v>169</v>
      </c>
      <c r="I29" s="76"/>
    </row>
    <row r="30" spans="2:21" ht="22.5" customHeight="1" x14ac:dyDescent="0.25">
      <c r="B30" s="76">
        <f t="shared" ca="1" si="0"/>
        <v>2019</v>
      </c>
      <c r="C30" s="75" t="str">
        <f t="shared" si="1"/>
        <v>febrero</v>
      </c>
      <c r="D30" s="88">
        <f t="shared" si="2"/>
        <v>24</v>
      </c>
      <c r="E30" s="73">
        <v>1740000</v>
      </c>
      <c r="F30" s="76" t="s">
        <v>167</v>
      </c>
      <c r="G30" s="76" t="s">
        <v>168</v>
      </c>
      <c r="H30" s="76" t="s">
        <v>169</v>
      </c>
      <c r="I30" s="76"/>
    </row>
    <row r="31" spans="2:21" ht="22.5" customHeight="1" x14ac:dyDescent="0.25">
      <c r="B31" s="76">
        <f t="shared" ca="1" si="0"/>
        <v>2019</v>
      </c>
      <c r="C31" s="75" t="str">
        <f t="shared" si="1"/>
        <v>febrero</v>
      </c>
      <c r="D31" s="88">
        <f t="shared" si="2"/>
        <v>25</v>
      </c>
      <c r="E31" s="73">
        <v>1740000</v>
      </c>
      <c r="F31" s="76" t="s">
        <v>167</v>
      </c>
      <c r="G31" s="76" t="s">
        <v>168</v>
      </c>
      <c r="H31" s="76" t="s">
        <v>169</v>
      </c>
      <c r="I31" s="76"/>
    </row>
    <row r="32" spans="2:21" ht="22.5" customHeight="1" x14ac:dyDescent="0.25">
      <c r="B32" s="76">
        <f t="shared" ca="1" si="0"/>
        <v>2019</v>
      </c>
      <c r="C32" s="75" t="str">
        <f t="shared" si="1"/>
        <v>febrero</v>
      </c>
      <c r="D32" s="88">
        <f t="shared" si="2"/>
        <v>26</v>
      </c>
      <c r="E32" s="73">
        <v>1740000</v>
      </c>
      <c r="F32" s="76" t="s">
        <v>167</v>
      </c>
      <c r="G32" s="76" t="s">
        <v>168</v>
      </c>
      <c r="H32" s="76" t="s">
        <v>169</v>
      </c>
      <c r="I32" s="76"/>
    </row>
    <row r="33" spans="2:24" ht="22.5" customHeight="1" x14ac:dyDescent="0.25">
      <c r="B33" s="76">
        <f t="shared" ca="1" si="0"/>
        <v>2019</v>
      </c>
      <c r="C33" s="75" t="str">
        <f t="shared" si="1"/>
        <v>febrero</v>
      </c>
      <c r="D33" s="88">
        <f t="shared" si="2"/>
        <v>27</v>
      </c>
      <c r="E33" s="73">
        <v>1740000</v>
      </c>
      <c r="F33" s="76" t="s">
        <v>167</v>
      </c>
      <c r="G33" s="76" t="s">
        <v>168</v>
      </c>
      <c r="H33" s="76" t="s">
        <v>169</v>
      </c>
      <c r="I33" s="76"/>
    </row>
    <row r="34" spans="2:24" ht="22.5" customHeight="1" x14ac:dyDescent="0.25">
      <c r="B34" s="76">
        <f t="shared" ca="1" si="0"/>
        <v>2019</v>
      </c>
      <c r="C34" s="75" t="str">
        <f t="shared" si="1"/>
        <v>febrero</v>
      </c>
      <c r="D34" s="88">
        <f t="shared" si="2"/>
        <v>28</v>
      </c>
      <c r="E34" s="73">
        <v>1740000</v>
      </c>
      <c r="F34" s="76" t="s">
        <v>167</v>
      </c>
      <c r="G34" s="76" t="s">
        <v>168</v>
      </c>
      <c r="H34" s="76" t="s">
        <v>169</v>
      </c>
      <c r="I34" s="76"/>
    </row>
    <row r="35" spans="2:24" ht="22.5" customHeight="1" x14ac:dyDescent="0.25">
      <c r="B35" s="76"/>
      <c r="C35" s="75"/>
      <c r="D35" s="88"/>
      <c r="E35" s="73"/>
      <c r="F35" s="76"/>
      <c r="G35" s="76"/>
      <c r="H35" s="76"/>
      <c r="I35" s="76"/>
    </row>
    <row r="36" spans="2:24" ht="22.5" customHeight="1" x14ac:dyDescent="0.25">
      <c r="B36" s="76"/>
      <c r="C36" s="75"/>
      <c r="D36" s="88"/>
      <c r="E36" s="73"/>
      <c r="F36" s="76"/>
      <c r="G36" s="76"/>
      <c r="H36" s="76"/>
      <c r="I36" s="76"/>
    </row>
    <row r="37" spans="2:24" ht="22.5" customHeight="1" thickBot="1" x14ac:dyDescent="0.3">
      <c r="B37" s="99"/>
      <c r="C37" s="100"/>
      <c r="D37" s="101"/>
      <c r="E37" s="102"/>
      <c r="F37" s="99"/>
      <c r="G37" s="99"/>
      <c r="H37" s="99"/>
      <c r="I37" s="96"/>
    </row>
    <row r="38" spans="2:24" ht="22.5" customHeight="1" thickBot="1" x14ac:dyDescent="0.3">
      <c r="B38" s="106" t="s">
        <v>170</v>
      </c>
      <c r="C38" s="106"/>
      <c r="D38" s="106"/>
      <c r="E38" s="74">
        <f>+SUM(E7:E37)</f>
        <v>48720000</v>
      </c>
    </row>
    <row r="39" spans="2:24" ht="22.5" customHeight="1" x14ac:dyDescent="0.25">
      <c r="B39" s="79"/>
      <c r="C39" s="79"/>
      <c r="D39" s="79"/>
    </row>
    <row r="40" spans="2:24" s="68" customFormat="1" x14ac:dyDescent="0.25"/>
    <row r="41" spans="2:24" s="68" customFormat="1" x14ac:dyDescent="0.25"/>
    <row r="42" spans="2:24" s="68" customFormat="1" ht="30" customHeight="1" x14ac:dyDescent="0.25">
      <c r="B42" s="108" t="s">
        <v>172</v>
      </c>
      <c r="C42" s="108"/>
      <c r="D42" s="108"/>
      <c r="E42" s="108"/>
      <c r="F42" s="108"/>
      <c r="G42" s="108"/>
      <c r="H42" s="108"/>
      <c r="I42" s="108"/>
      <c r="J42" s="108"/>
      <c r="K42" s="109"/>
      <c r="L42" s="109"/>
      <c r="M42" s="109"/>
      <c r="N42" s="109"/>
      <c r="O42" s="109"/>
      <c r="P42" s="109"/>
      <c r="Q42" s="109"/>
    </row>
    <row r="43" spans="2:24" s="68" customFormat="1" ht="33" customHeight="1" thickBot="1" x14ac:dyDescent="0.3">
      <c r="B43" s="110" t="s">
        <v>173</v>
      </c>
      <c r="C43" s="110"/>
      <c r="D43" s="71"/>
      <c r="E43" s="71" t="s">
        <v>174</v>
      </c>
      <c r="F43" s="71"/>
      <c r="G43" s="110" t="s">
        <v>174</v>
      </c>
      <c r="H43" s="110"/>
      <c r="I43" s="110"/>
      <c r="J43" s="110"/>
      <c r="K43" s="111" t="s">
        <v>175</v>
      </c>
      <c r="L43" s="111"/>
      <c r="M43" s="111"/>
      <c r="N43" s="111"/>
      <c r="O43" s="111"/>
      <c r="P43" s="111"/>
      <c r="Q43" s="111"/>
      <c r="R43" s="110" t="s">
        <v>176</v>
      </c>
      <c r="S43" s="110"/>
      <c r="T43" s="110"/>
      <c r="U43" s="110"/>
      <c r="V43" s="110"/>
      <c r="W43" s="110"/>
      <c r="X43" s="110"/>
    </row>
    <row r="44" spans="2:24" s="68" customFormat="1" x14ac:dyDescent="0.25">
      <c r="B44" s="112"/>
      <c r="C44" s="112"/>
      <c r="D44" s="90"/>
      <c r="E44" s="82"/>
      <c r="F44" s="91"/>
      <c r="G44" s="113"/>
      <c r="H44" s="113"/>
      <c r="I44" s="113"/>
      <c r="J44" s="113"/>
      <c r="K44" s="80"/>
      <c r="L44" s="80"/>
      <c r="M44" s="80"/>
      <c r="N44" s="80"/>
      <c r="O44" s="80"/>
      <c r="P44" s="80"/>
      <c r="Q44" s="80"/>
      <c r="R44" s="114"/>
      <c r="S44" s="114"/>
      <c r="T44" s="114"/>
      <c r="U44" s="114"/>
      <c r="V44" s="114"/>
      <c r="W44" s="114"/>
      <c r="X44" s="114"/>
    </row>
    <row r="45" spans="2:24" s="68" customFormat="1" x14ac:dyDescent="0.25">
      <c r="B45" s="115"/>
      <c r="C45" s="115"/>
      <c r="D45" s="76"/>
      <c r="E45" s="82"/>
      <c r="F45" s="82"/>
      <c r="G45" s="116"/>
      <c r="H45" s="116"/>
      <c r="I45" s="116"/>
      <c r="J45" s="116"/>
      <c r="K45" s="80"/>
      <c r="L45" s="80"/>
      <c r="M45" s="80"/>
      <c r="N45" s="80"/>
      <c r="O45" s="80"/>
      <c r="P45" s="80"/>
      <c r="Q45" s="80"/>
      <c r="R45" s="117"/>
      <c r="S45" s="117"/>
      <c r="T45" s="117"/>
      <c r="U45" s="117"/>
      <c r="V45" s="117"/>
      <c r="W45" s="117"/>
      <c r="X45" s="117"/>
    </row>
    <row r="46" spans="2:24" s="68" customFormat="1" x14ac:dyDescent="0.25">
      <c r="B46" s="115"/>
      <c r="C46" s="115"/>
      <c r="D46" s="76"/>
      <c r="E46" s="82"/>
      <c r="F46" s="82"/>
      <c r="G46" s="116"/>
      <c r="H46" s="116"/>
      <c r="I46" s="116"/>
      <c r="J46" s="116"/>
      <c r="K46" s="80"/>
      <c r="L46" s="80"/>
      <c r="M46" s="80"/>
      <c r="N46" s="80"/>
      <c r="O46" s="80"/>
      <c r="P46" s="80"/>
      <c r="Q46" s="80"/>
      <c r="R46" s="117"/>
      <c r="S46" s="117"/>
      <c r="T46" s="117"/>
      <c r="U46" s="117"/>
      <c r="V46" s="117"/>
      <c r="W46" s="117"/>
      <c r="X46" s="117"/>
    </row>
    <row r="47" spans="2:24" s="68" customFormat="1" x14ac:dyDescent="0.25">
      <c r="B47" s="115"/>
      <c r="C47" s="115"/>
      <c r="D47" s="76"/>
      <c r="E47" s="82"/>
      <c r="F47" s="82"/>
      <c r="G47" s="116"/>
      <c r="H47" s="116"/>
      <c r="I47" s="116"/>
      <c r="J47" s="116"/>
      <c r="K47" s="80"/>
      <c r="L47" s="80"/>
      <c r="M47" s="80"/>
      <c r="N47" s="80"/>
      <c r="O47" s="80"/>
      <c r="P47" s="80"/>
      <c r="Q47" s="80"/>
      <c r="R47" s="117"/>
      <c r="S47" s="117"/>
      <c r="T47" s="117"/>
      <c r="U47" s="117"/>
      <c r="V47" s="117"/>
      <c r="W47" s="117"/>
      <c r="X47" s="117"/>
    </row>
    <row r="48" spans="2:24" s="68" customFormat="1" x14ac:dyDescent="0.25">
      <c r="B48" s="115"/>
      <c r="C48" s="115"/>
      <c r="D48" s="76"/>
      <c r="E48" s="82"/>
      <c r="F48" s="82"/>
      <c r="G48" s="116"/>
      <c r="H48" s="116"/>
      <c r="I48" s="116"/>
      <c r="J48" s="116"/>
      <c r="K48" s="80"/>
      <c r="L48" s="80"/>
      <c r="M48" s="80"/>
      <c r="N48" s="80"/>
      <c r="O48" s="80"/>
      <c r="P48" s="80"/>
      <c r="Q48" s="80"/>
      <c r="R48" s="117"/>
      <c r="S48" s="117"/>
      <c r="T48" s="117"/>
      <c r="U48" s="117"/>
      <c r="V48" s="117"/>
      <c r="W48" s="117"/>
      <c r="X48" s="117"/>
    </row>
    <row r="49" spans="2:24" s="68" customFormat="1" ht="17.25" thickBot="1" x14ac:dyDescent="0.3">
      <c r="B49" s="118"/>
      <c r="C49" s="118"/>
      <c r="D49" s="77"/>
      <c r="E49" s="83"/>
      <c r="F49" s="83"/>
      <c r="G49" s="119"/>
      <c r="H49" s="119"/>
      <c r="I49" s="119"/>
      <c r="J49" s="119"/>
      <c r="K49" s="81"/>
      <c r="L49" s="81"/>
      <c r="M49" s="81"/>
      <c r="N49" s="81"/>
      <c r="O49" s="81"/>
      <c r="P49" s="81"/>
      <c r="Q49" s="81"/>
      <c r="R49" s="118"/>
      <c r="S49" s="118"/>
      <c r="T49" s="118"/>
      <c r="U49" s="118"/>
      <c r="V49" s="118"/>
      <c r="W49" s="118"/>
      <c r="X49" s="118"/>
    </row>
    <row r="50" spans="2:24" s="68" customFormat="1" x14ac:dyDescent="0.25"/>
    <row r="51" spans="2:24" s="68" customFormat="1" x14ac:dyDescent="0.25"/>
    <row r="52" spans="2:24" x14ac:dyDescent="0.25"/>
    <row r="53" spans="2:24" ht="18.75" x14ac:dyDescent="0.25">
      <c r="B53" s="120" t="s">
        <v>177</v>
      </c>
      <c r="C53" s="120"/>
      <c r="D53" s="120"/>
      <c r="E53" s="120"/>
      <c r="F53" s="120"/>
      <c r="G53" s="120"/>
      <c r="H53" s="78"/>
      <c r="I53" s="78"/>
    </row>
    <row r="54" spans="2:24" x14ac:dyDescent="0.25">
      <c r="B54" s="121" t="s">
        <v>178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</row>
    <row r="55" spans="2:24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</row>
    <row r="56" spans="2:24" x14ac:dyDescent="0.25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</row>
    <row r="57" spans="2:24" x14ac:dyDescent="0.25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</row>
    <row r="58" spans="2:24" x14ac:dyDescent="0.25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2:24" x14ac:dyDescent="0.2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2:24" x14ac:dyDescent="0.25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2:24" x14ac:dyDescent="0.25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2:24" x14ac:dyDescent="0.25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2:24" x14ac:dyDescent="0.25"/>
  </sheetData>
  <mergeCells count="34">
    <mergeCell ref="B53:G53"/>
    <mergeCell ref="B54:X62"/>
    <mergeCell ref="B48:C48"/>
    <mergeCell ref="G48:J48"/>
    <mergeCell ref="R48:X48"/>
    <mergeCell ref="B49:C49"/>
    <mergeCell ref="G49:J49"/>
    <mergeCell ref="R49:X49"/>
    <mergeCell ref="B46:C46"/>
    <mergeCell ref="G46:J46"/>
    <mergeCell ref="R46:X46"/>
    <mergeCell ref="B47:C47"/>
    <mergeCell ref="G47:J47"/>
    <mergeCell ref="R47:X47"/>
    <mergeCell ref="B44:C44"/>
    <mergeCell ref="G44:J44"/>
    <mergeCell ref="R44:X44"/>
    <mergeCell ref="B45:C45"/>
    <mergeCell ref="G45:J45"/>
    <mergeCell ref="R45:X45"/>
    <mergeCell ref="S17:T17"/>
    <mergeCell ref="B38:D38"/>
    <mergeCell ref="B42:J42"/>
    <mergeCell ref="K42:Q42"/>
    <mergeCell ref="B43:C43"/>
    <mergeCell ref="G43:J43"/>
    <mergeCell ref="K43:Q43"/>
    <mergeCell ref="R43:X43"/>
    <mergeCell ref="C2:G2"/>
    <mergeCell ref="E3:F3"/>
    <mergeCell ref="B4:E4"/>
    <mergeCell ref="K4:N4"/>
    <mergeCell ref="S4:Y4"/>
    <mergeCell ref="K11:L11"/>
  </mergeCells>
  <dataValidations count="4">
    <dataValidation type="list" allowBlank="1" showInputMessage="1" showErrorMessage="1" sqref="F7:F37 N7:N10 V7:V16" xr:uid="{3DC8C75F-A628-4E13-BFD8-C73DFAAFF523}">
      <formula1>MODALIDAD</formula1>
    </dataValidation>
    <dataValidation type="list" allowBlank="1" showInputMessage="1" showErrorMessage="1" sqref="G7:G37 O7:O10 W7:W16" xr:uid="{47BB8192-3CC4-45AB-89D8-331DD000652F}">
      <formula1>TIPO_SUMINISTRO</formula1>
    </dataValidation>
    <dataValidation type="list" allowBlank="1" showInputMessage="1" showErrorMessage="1" sqref="G3" xr:uid="{FCFF4896-33E9-459D-9853-98D154E11506}">
      <formula1>GASODUCTO</formula1>
    </dataValidation>
    <dataValidation type="list" allowBlank="1" showInputMessage="1" showErrorMessage="1" sqref="K44:Q49" xr:uid="{F5C08C59-91E3-4C7D-A7B5-2A5E662A0901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5B0222-B667-4A70-89CD-231572425897}">
          <x14:formula1>
            <xm:f>'S:\Departamento de Análisis Económico\3.1 Stock y Disponibilidad de Combustibles\01 Información de disponibilidad de recursos primarios\2019\02 Febrero\GM\[201902_Formato_Informacion_Recurso_primario.xlsx]Aux'!#REF!</xm:f>
          </x14:formula1>
          <xm:sqref>C2:G2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49AD-6AB8-4109-BB2B-7FE6CD6DA585}">
  <dimension ref="A1:Z63"/>
  <sheetViews>
    <sheetView showGridLines="0" topLeftCell="A16" zoomScale="80" zoomScaleNormal="80" workbookViewId="0">
      <selection activeCell="M10" sqref="M10"/>
    </sheetView>
  </sheetViews>
  <sheetFormatPr baseColWidth="10" defaultColWidth="0" defaultRowHeight="16.5" zeroHeight="1" x14ac:dyDescent="0.25"/>
  <cols>
    <col min="1" max="1" width="3" style="70" customWidth="1"/>
    <col min="2" max="2" width="16.42578125" style="70" customWidth="1"/>
    <col min="3" max="4" width="13.7109375" style="70" customWidth="1"/>
    <col min="5" max="5" width="15.85546875" style="70" bestFit="1" customWidth="1"/>
    <col min="6" max="6" width="15.28515625" style="70" bestFit="1" customWidth="1"/>
    <col min="7" max="7" width="22.28515625" style="70" bestFit="1" customWidth="1"/>
    <col min="8" max="8" width="38.5703125" style="70" customWidth="1"/>
    <col min="9" max="9" width="70.7109375" style="70" customWidth="1"/>
    <col min="10" max="10" width="4.28515625" style="70" customWidth="1"/>
    <col min="11" max="11" width="30.140625" style="70" customWidth="1"/>
    <col min="12" max="15" width="18.7109375" style="70" customWidth="1"/>
    <col min="16" max="16" width="37" style="70" customWidth="1"/>
    <col min="17" max="17" width="70.7109375" style="70" customWidth="1"/>
    <col min="18" max="18" width="2.85546875" style="70" customWidth="1"/>
    <col min="19" max="23" width="18.7109375" style="70" customWidth="1"/>
    <col min="24" max="24" width="36.42578125" style="70" bestFit="1" customWidth="1"/>
    <col min="25" max="25" width="63.140625" style="70" customWidth="1"/>
    <col min="26" max="26" width="11.42578125" style="70" customWidth="1"/>
    <col min="27" max="16384" width="11.42578125" style="70" hidden="1"/>
  </cols>
  <sheetData>
    <row r="1" spans="2:25" ht="17.25" thickBot="1" x14ac:dyDescent="0.3"/>
    <row r="2" spans="2:25" ht="60.75" customHeight="1" thickBot="1" x14ac:dyDescent="0.3">
      <c r="B2" s="69" t="s">
        <v>155</v>
      </c>
      <c r="C2" s="66" t="s">
        <v>179</v>
      </c>
      <c r="D2" s="65"/>
      <c r="E2" s="65"/>
      <c r="F2" s="65"/>
      <c r="G2" s="103"/>
      <c r="K2" s="86"/>
    </row>
    <row r="3" spans="2:25" ht="60.75" customHeight="1" thickBot="1" x14ac:dyDescent="0.3">
      <c r="B3" s="69"/>
      <c r="C3" s="69"/>
      <c r="D3" s="69"/>
      <c r="E3" s="107" t="s">
        <v>156</v>
      </c>
      <c r="F3" s="107"/>
      <c r="G3" s="84" t="s">
        <v>157</v>
      </c>
      <c r="H3" s="94"/>
      <c r="K3" s="86"/>
    </row>
    <row r="4" spans="2:25" ht="21" customHeight="1" x14ac:dyDescent="0.25">
      <c r="B4" s="104" t="str">
        <f ca="1">+CONCATENATE("DISPONIBILIDAD DIARIA ",UPPER(TEXT(EDATE(TODAY(),12),"mmmm"))," ",YEAR(TODAY())," [Mm3]")</f>
        <v>DISPONIBILIDAD DIARIA FEBRERO 2019 [Mm3]</v>
      </c>
      <c r="C4" s="104"/>
      <c r="D4" s="104"/>
      <c r="E4" s="104"/>
      <c r="F4" s="87"/>
      <c r="G4" s="87"/>
      <c r="H4" s="87"/>
      <c r="I4" s="87"/>
      <c r="K4" s="104" t="str">
        <f ca="1">+CONCATENATE("DISPONIBILIDAD SEMANAL ",UPPER(TEXT(EDATE(TODAY(),1),"mmmm"))," ",YEAR(TODAY())," [Mm3]")</f>
        <v>DISPONIBILIDAD SEMANAL MARZO 2019 [Mm3]</v>
      </c>
      <c r="L4" s="104"/>
      <c r="M4" s="104"/>
      <c r="N4" s="104"/>
      <c r="O4" s="67"/>
      <c r="P4" s="67"/>
      <c r="Q4" s="67"/>
      <c r="S4" s="104" t="str">
        <f ca="1">+CONCATENATE("DISPONIBILIDAD MENSUAL ",UPPER(TEXT(EDATE(TODAY(),2),"mmmm"))," ",YEAR(EDATE(TODAY(),2)),," A ",UPPER(TEXT(EDATE(TODAY(),12),"mmmm"))," ",YEAR(EDATE(TODAY(),12))," [Mm3]")</f>
        <v>DISPONIBILIDAD MENSUAL ABRIL 2019 A FEBRERO 2020 [Mm3]</v>
      </c>
      <c r="T4" s="104"/>
      <c r="U4" s="104"/>
      <c r="V4" s="104"/>
      <c r="W4" s="104"/>
      <c r="X4" s="104"/>
      <c r="Y4" s="104"/>
    </row>
    <row r="5" spans="2:25" ht="21" customHeight="1" x14ac:dyDescent="0.25">
      <c r="B5" s="85"/>
      <c r="C5" s="85"/>
      <c r="D5" s="85"/>
      <c r="E5" s="85"/>
      <c r="F5" s="85"/>
      <c r="G5" s="87"/>
      <c r="H5" s="87"/>
      <c r="I5" s="87"/>
      <c r="K5" s="87"/>
      <c r="L5" s="85"/>
      <c r="M5" s="85"/>
      <c r="N5" s="85"/>
      <c r="O5" s="67"/>
      <c r="P5" s="67"/>
      <c r="Q5" s="67"/>
      <c r="S5" s="85"/>
      <c r="T5" s="85"/>
      <c r="U5" s="85"/>
      <c r="V5" s="85"/>
      <c r="W5" s="85"/>
      <c r="X5" s="85"/>
      <c r="Y5" s="85"/>
    </row>
    <row r="6" spans="2:25" s="68" customFormat="1" ht="70.5" customHeight="1" thickBot="1" x14ac:dyDescent="0.3">
      <c r="B6" s="71" t="s">
        <v>53</v>
      </c>
      <c r="C6" s="71" t="s">
        <v>54</v>
      </c>
      <c r="D6" s="71" t="s">
        <v>158</v>
      </c>
      <c r="E6" s="71" t="s">
        <v>159</v>
      </c>
      <c r="F6" s="71" t="s">
        <v>160</v>
      </c>
      <c r="G6" s="71" t="s">
        <v>161</v>
      </c>
      <c r="H6" s="71" t="s">
        <v>162</v>
      </c>
      <c r="I6" s="71" t="s">
        <v>163</v>
      </c>
      <c r="K6" s="92" t="s">
        <v>164</v>
      </c>
      <c r="L6" s="71" t="s">
        <v>165</v>
      </c>
      <c r="M6" s="71" t="s">
        <v>166</v>
      </c>
      <c r="N6" s="71" t="s">
        <v>160</v>
      </c>
      <c r="O6" s="71" t="s">
        <v>161</v>
      </c>
      <c r="P6" s="71" t="s">
        <v>162</v>
      </c>
      <c r="Q6" s="71" t="s">
        <v>163</v>
      </c>
      <c r="S6" s="71" t="s">
        <v>53</v>
      </c>
      <c r="T6" s="71" t="s">
        <v>54</v>
      </c>
      <c r="U6" s="71" t="s">
        <v>166</v>
      </c>
      <c r="V6" s="71" t="s">
        <v>160</v>
      </c>
      <c r="W6" s="71" t="s">
        <v>161</v>
      </c>
      <c r="X6" s="71" t="s">
        <v>162</v>
      </c>
      <c r="Y6" s="71" t="s">
        <v>163</v>
      </c>
    </row>
    <row r="7" spans="2:25" ht="22.5" customHeight="1" x14ac:dyDescent="0.25">
      <c r="B7" s="88">
        <f ca="1">+IF(D7&lt;&gt;"",YEAR(TODAY()),"")</f>
        <v>2019</v>
      </c>
      <c r="C7" s="75" t="str">
        <f ca="1">+IF(D7&lt;&gt;"",TEXT(EDATE(TODAY(),12),"mmmm"),"")</f>
        <v>febrero</v>
      </c>
      <c r="D7" s="88">
        <v>1</v>
      </c>
      <c r="E7" s="73"/>
      <c r="F7" s="76"/>
      <c r="G7" s="76"/>
      <c r="H7" s="76"/>
      <c r="I7" s="76"/>
      <c r="K7" s="75">
        <f ca="1">+DATE(YEAR(EDATE(TODAY(),1)),MONTH(EDATE(TODAY(),1)),1)</f>
        <v>43525</v>
      </c>
      <c r="L7" s="75">
        <f ca="1">+K7+6</f>
        <v>43531</v>
      </c>
      <c r="M7" s="73">
        <v>23104480</v>
      </c>
      <c r="N7" s="76" t="s">
        <v>167</v>
      </c>
      <c r="O7" s="76" t="s">
        <v>168</v>
      </c>
      <c r="P7" s="76" t="s">
        <v>180</v>
      </c>
      <c r="Q7" s="76" t="s">
        <v>181</v>
      </c>
      <c r="S7" s="88">
        <f ca="1">+YEAR(EDATE(TODAY(),3))</f>
        <v>2019</v>
      </c>
      <c r="T7" s="75" t="str">
        <f ca="1">+TEXT(EDATE(TODAY(),2),"mmmm")</f>
        <v>abril</v>
      </c>
      <c r="U7" s="73">
        <v>102319840</v>
      </c>
      <c r="V7" s="76" t="s">
        <v>167</v>
      </c>
      <c r="W7" s="76" t="s">
        <v>168</v>
      </c>
      <c r="X7" s="76" t="s">
        <v>180</v>
      </c>
      <c r="Y7" s="76" t="s">
        <v>181</v>
      </c>
    </row>
    <row r="8" spans="2:25" ht="22.5" customHeight="1" x14ac:dyDescent="0.25">
      <c r="B8" s="76">
        <f t="shared" ref="B8:B37" ca="1" si="0">+IF(D8&lt;&gt;"",YEAR(TODAY()),"")</f>
        <v>2019</v>
      </c>
      <c r="C8" s="75" t="str">
        <f t="shared" ref="C8:C37" ca="1" si="1">+IF(D8&lt;&gt;"",TEXT(EDATE(TODAY(),12),"mmmm"),"")</f>
        <v>febrero</v>
      </c>
      <c r="D8" s="88">
        <f ca="1">+IF(D7+1&lt;=DAY(EOMONTH(TODAY(),0)),D7+1,"")</f>
        <v>2</v>
      </c>
      <c r="E8" s="73"/>
      <c r="F8" s="76"/>
      <c r="G8" s="76"/>
      <c r="H8" s="76"/>
      <c r="I8" s="76"/>
      <c r="K8" s="75">
        <f ca="1">+$L$7+1</f>
        <v>43532</v>
      </c>
      <c r="L8" s="75">
        <f ca="1">+IF(DAY(EOMONTH(TODAY(),1))=28,K8+6,K8+7)</f>
        <v>43539</v>
      </c>
      <c r="M8" s="73">
        <v>23104480</v>
      </c>
      <c r="N8" s="76" t="s">
        <v>167</v>
      </c>
      <c r="O8" s="76" t="s">
        <v>168</v>
      </c>
      <c r="P8" s="76" t="s">
        <v>180</v>
      </c>
      <c r="Q8" s="76" t="s">
        <v>181</v>
      </c>
      <c r="S8" s="88">
        <f ca="1">+YEAR(EDATE(TODAY(),4))</f>
        <v>2019</v>
      </c>
      <c r="T8" s="75" t="str">
        <f ca="1">+TEXT(EDATE(TODAY(),3),"mmmm")</f>
        <v>mayo</v>
      </c>
      <c r="U8" s="73">
        <v>99019200</v>
      </c>
      <c r="V8" s="76" t="s">
        <v>167</v>
      </c>
      <c r="W8" s="76" t="s">
        <v>168</v>
      </c>
      <c r="X8" s="76" t="s">
        <v>180</v>
      </c>
      <c r="Y8" s="76" t="s">
        <v>181</v>
      </c>
    </row>
    <row r="9" spans="2:25" ht="22.5" customHeight="1" x14ac:dyDescent="0.25">
      <c r="B9" s="76">
        <f t="shared" ca="1" si="0"/>
        <v>2019</v>
      </c>
      <c r="C9" s="75" t="str">
        <f t="shared" ca="1" si="1"/>
        <v>febrero</v>
      </c>
      <c r="D9" s="88">
        <f t="shared" ref="D9:D37" ca="1" si="2">+IF(D8+1&lt;=DAY(EOMONTH(TODAY(),0)),D8+1,"")</f>
        <v>3</v>
      </c>
      <c r="E9" s="73"/>
      <c r="F9" s="76"/>
      <c r="G9" s="76"/>
      <c r="H9" s="76"/>
      <c r="I9" s="76"/>
      <c r="K9" s="75">
        <f ca="1">+$L$8+1</f>
        <v>43540</v>
      </c>
      <c r="L9" s="75">
        <f ca="1">+IF(DAY(EOMONTH(TODAY(),1))=31,K9+7,K9+6)</f>
        <v>43547</v>
      </c>
      <c r="M9" s="73">
        <v>23104480</v>
      </c>
      <c r="N9" s="76" t="s">
        <v>167</v>
      </c>
      <c r="O9" s="76" t="s">
        <v>168</v>
      </c>
      <c r="P9" s="76" t="s">
        <v>180</v>
      </c>
      <c r="Q9" s="76" t="s">
        <v>181</v>
      </c>
      <c r="S9" s="88">
        <f ca="1">+YEAR(EDATE(TODAY(),5))</f>
        <v>2019</v>
      </c>
      <c r="T9" s="75" t="str">
        <f ca="1">+TEXT(EDATE(TODAY(),4),"mmmm")</f>
        <v>junio</v>
      </c>
      <c r="U9" s="73"/>
      <c r="V9" s="76"/>
      <c r="W9" s="76"/>
      <c r="X9" s="88"/>
      <c r="Y9" s="88"/>
    </row>
    <row r="10" spans="2:25" ht="22.5" customHeight="1" thickBot="1" x14ac:dyDescent="0.3">
      <c r="B10" s="76">
        <f t="shared" ca="1" si="0"/>
        <v>2019</v>
      </c>
      <c r="C10" s="75" t="str">
        <f t="shared" ca="1" si="1"/>
        <v>febrero</v>
      </c>
      <c r="D10" s="88">
        <f t="shared" ca="1" si="2"/>
        <v>4</v>
      </c>
      <c r="E10" s="73"/>
      <c r="F10" s="76"/>
      <c r="G10" s="76"/>
      <c r="H10" s="76"/>
      <c r="I10" s="76"/>
      <c r="K10" s="72">
        <f ca="1">+$L$9+1</f>
        <v>43548</v>
      </c>
      <c r="L10" s="72">
        <f ca="1">+IF(DAY(EOMONTH(TODAY(),1))=28,K10+6,IF(DAY(EOMONTH(TODAY(),2))=29,K10+6,K10+7))</f>
        <v>43555</v>
      </c>
      <c r="M10" s="73">
        <v>23104480</v>
      </c>
      <c r="N10" s="89" t="s">
        <v>167</v>
      </c>
      <c r="O10" s="89" t="s">
        <v>168</v>
      </c>
      <c r="P10" s="76" t="s">
        <v>180</v>
      </c>
      <c r="Q10" s="76" t="s">
        <v>181</v>
      </c>
      <c r="S10" s="88">
        <f ca="1">+YEAR(EDATE(TODAY(),6))</f>
        <v>2019</v>
      </c>
      <c r="T10" s="75" t="str">
        <f ca="1">+TEXT(EDATE(TODAY(),5),"mmmm")</f>
        <v>julio</v>
      </c>
      <c r="U10" s="73"/>
      <c r="V10" s="76"/>
      <c r="W10" s="76"/>
      <c r="X10" s="88"/>
      <c r="Y10" s="88"/>
    </row>
    <row r="11" spans="2:25" ht="22.5" customHeight="1" thickBot="1" x14ac:dyDescent="0.3">
      <c r="B11" s="76">
        <f t="shared" ca="1" si="0"/>
        <v>2019</v>
      </c>
      <c r="C11" s="75" t="str">
        <f t="shared" ca="1" si="1"/>
        <v>febrero</v>
      </c>
      <c r="D11" s="88">
        <f t="shared" ca="1" si="2"/>
        <v>5</v>
      </c>
      <c r="E11" s="73"/>
      <c r="F11" s="76"/>
      <c r="G11" s="76"/>
      <c r="H11" s="76"/>
      <c r="I11" s="76"/>
      <c r="K11" s="105" t="s">
        <v>170</v>
      </c>
      <c r="L11" s="105"/>
      <c r="M11" s="74">
        <f>+SUM(M7:M10)</f>
        <v>92417920</v>
      </c>
      <c r="S11" s="88">
        <f ca="1">+YEAR(EDATE(TODAY(),7))</f>
        <v>2019</v>
      </c>
      <c r="T11" s="75" t="str">
        <f ca="1">+TEXT(EDATE(TODAY(),6),"mmmm")</f>
        <v>agosto</v>
      </c>
      <c r="U11" s="73"/>
      <c r="V11" s="76"/>
      <c r="W11" s="76"/>
      <c r="X11" s="88"/>
      <c r="Y11" s="88"/>
    </row>
    <row r="12" spans="2:25" ht="22.5" customHeight="1" x14ac:dyDescent="0.25">
      <c r="B12" s="76">
        <f t="shared" ca="1" si="0"/>
        <v>2019</v>
      </c>
      <c r="C12" s="75" t="str">
        <f t="shared" ca="1" si="1"/>
        <v>febrero</v>
      </c>
      <c r="D12" s="88">
        <f t="shared" ca="1" si="2"/>
        <v>6</v>
      </c>
      <c r="E12" s="73"/>
      <c r="F12" s="76"/>
      <c r="G12" s="76"/>
      <c r="H12" s="76"/>
      <c r="I12" s="76"/>
      <c r="K12" s="93"/>
      <c r="S12" s="88">
        <f ca="1">+YEAR(EDATE(TODAY(),8))</f>
        <v>2019</v>
      </c>
      <c r="T12" s="75" t="str">
        <f ca="1">+TEXT(EDATE(TODAY(),7),"mmmm")</f>
        <v>septiembre</v>
      </c>
      <c r="U12" s="73"/>
      <c r="V12" s="76"/>
      <c r="W12" s="76"/>
      <c r="X12" s="88"/>
      <c r="Y12" s="88"/>
    </row>
    <row r="13" spans="2:25" ht="22.5" customHeight="1" x14ac:dyDescent="0.25">
      <c r="B13" s="76">
        <f t="shared" ca="1" si="0"/>
        <v>2019</v>
      </c>
      <c r="C13" s="75" t="str">
        <f t="shared" ca="1" si="1"/>
        <v>febrero</v>
      </c>
      <c r="D13" s="88">
        <f t="shared" ca="1" si="2"/>
        <v>7</v>
      </c>
      <c r="E13" s="73"/>
      <c r="F13" s="76"/>
      <c r="G13" s="76"/>
      <c r="H13" s="76"/>
      <c r="I13" s="76"/>
      <c r="S13" s="88">
        <f ca="1">+YEAR(EDATE(TODAY(),9))</f>
        <v>2019</v>
      </c>
      <c r="T13" s="75" t="str">
        <f ca="1">+TEXT(EDATE(TODAY(),8),"mmmm")</f>
        <v>octubre</v>
      </c>
      <c r="U13" s="73"/>
      <c r="V13" s="76"/>
      <c r="W13" s="76"/>
      <c r="X13" s="88"/>
      <c r="Y13" s="88"/>
    </row>
    <row r="14" spans="2:25" ht="22.5" customHeight="1" x14ac:dyDescent="0.25">
      <c r="B14" s="76">
        <f t="shared" ca="1" si="0"/>
        <v>2019</v>
      </c>
      <c r="C14" s="75" t="str">
        <f t="shared" ca="1" si="1"/>
        <v>febrero</v>
      </c>
      <c r="D14" s="88">
        <f t="shared" ca="1" si="2"/>
        <v>8</v>
      </c>
      <c r="E14" s="73"/>
      <c r="F14" s="76"/>
      <c r="G14" s="76"/>
      <c r="H14" s="76"/>
      <c r="I14" s="76"/>
      <c r="S14" s="88">
        <f ca="1">+YEAR(EDATE(TODAY(),10))</f>
        <v>2019</v>
      </c>
      <c r="T14" s="75" t="str">
        <f ca="1">+TEXT(EDATE(TODAY(),9),"mmmm")</f>
        <v>noviembre</v>
      </c>
      <c r="U14" s="73"/>
      <c r="V14" s="76"/>
      <c r="W14" s="76"/>
      <c r="X14" s="88"/>
      <c r="Y14" s="88"/>
    </row>
    <row r="15" spans="2:25" ht="22.5" customHeight="1" x14ac:dyDescent="0.25">
      <c r="B15" s="76">
        <f t="shared" ca="1" si="0"/>
        <v>2019</v>
      </c>
      <c r="C15" s="75" t="str">
        <f t="shared" ca="1" si="1"/>
        <v>febrero</v>
      </c>
      <c r="D15" s="88">
        <f t="shared" ca="1" si="2"/>
        <v>9</v>
      </c>
      <c r="E15" s="73"/>
      <c r="F15" s="76"/>
      <c r="G15" s="76"/>
      <c r="H15" s="76"/>
      <c r="I15" s="76"/>
      <c r="S15" s="88">
        <f ca="1">+YEAR(EDATE(TODAY(),11))</f>
        <v>2020</v>
      </c>
      <c r="T15" s="75" t="str">
        <f ca="1">+TEXT(EDATE(TODAY(),10),"mmmm")</f>
        <v>diciembre</v>
      </c>
      <c r="U15" s="73"/>
      <c r="V15" s="76"/>
      <c r="W15" s="76"/>
      <c r="X15" s="88"/>
      <c r="Y15" s="88"/>
    </row>
    <row r="16" spans="2:25" ht="22.5" customHeight="1" thickBot="1" x14ac:dyDescent="0.3">
      <c r="B16" s="76">
        <f t="shared" ca="1" si="0"/>
        <v>2019</v>
      </c>
      <c r="C16" s="75" t="str">
        <f t="shared" ca="1" si="1"/>
        <v>febrero</v>
      </c>
      <c r="D16" s="88">
        <f t="shared" ca="1" si="2"/>
        <v>10</v>
      </c>
      <c r="E16" s="73"/>
      <c r="F16" s="76"/>
      <c r="G16" s="76"/>
      <c r="H16" s="76"/>
      <c r="I16" s="76"/>
      <c r="S16" s="89">
        <f ca="1">+YEAR(EDATE(TODAY(),12))</f>
        <v>2020</v>
      </c>
      <c r="T16" s="72" t="str">
        <f ca="1">+TEXT(EDATE(TODAY(),11),"mmmm")</f>
        <v>enero</v>
      </c>
      <c r="U16" s="95"/>
      <c r="V16" s="89"/>
      <c r="W16" s="89"/>
      <c r="X16" s="89"/>
      <c r="Y16" s="89"/>
    </row>
    <row r="17" spans="2:21" ht="22.5" customHeight="1" thickBot="1" x14ac:dyDescent="0.3">
      <c r="B17" s="76">
        <f t="shared" ca="1" si="0"/>
        <v>2019</v>
      </c>
      <c r="C17" s="75" t="str">
        <f t="shared" ca="1" si="1"/>
        <v>febrero</v>
      </c>
      <c r="D17" s="88">
        <f t="shared" ca="1" si="2"/>
        <v>11</v>
      </c>
      <c r="E17" s="73"/>
      <c r="F17" s="76"/>
      <c r="G17" s="76"/>
      <c r="H17" s="76"/>
      <c r="I17" s="76"/>
      <c r="S17" s="105" t="s">
        <v>171</v>
      </c>
      <c r="T17" s="105"/>
      <c r="U17" s="74">
        <f>+SUM(U7:U16)</f>
        <v>201339040</v>
      </c>
    </row>
    <row r="18" spans="2:21" ht="22.5" customHeight="1" x14ac:dyDescent="0.25">
      <c r="B18" s="76">
        <f t="shared" ca="1" si="0"/>
        <v>2019</v>
      </c>
      <c r="C18" s="75" t="str">
        <f t="shared" ca="1" si="1"/>
        <v>febrero</v>
      </c>
      <c r="D18" s="88">
        <f t="shared" ca="1" si="2"/>
        <v>12</v>
      </c>
      <c r="E18" s="73"/>
      <c r="F18" s="76"/>
      <c r="G18" s="76"/>
      <c r="H18" s="76"/>
      <c r="I18" s="76"/>
    </row>
    <row r="19" spans="2:21" ht="22.5" customHeight="1" x14ac:dyDescent="0.25">
      <c r="B19" s="76">
        <f t="shared" ca="1" si="0"/>
        <v>2019</v>
      </c>
      <c r="C19" s="75" t="str">
        <f t="shared" ca="1" si="1"/>
        <v>febrero</v>
      </c>
      <c r="D19" s="88">
        <f t="shared" ca="1" si="2"/>
        <v>13</v>
      </c>
      <c r="E19" s="73"/>
      <c r="F19" s="76"/>
      <c r="G19" s="76"/>
      <c r="H19" s="76"/>
      <c r="I19" s="76"/>
    </row>
    <row r="20" spans="2:21" ht="22.5" customHeight="1" x14ac:dyDescent="0.25">
      <c r="B20" s="76">
        <f t="shared" ca="1" si="0"/>
        <v>2019</v>
      </c>
      <c r="C20" s="75" t="str">
        <f t="shared" ca="1" si="1"/>
        <v>febrero</v>
      </c>
      <c r="D20" s="88">
        <f t="shared" ca="1" si="2"/>
        <v>14</v>
      </c>
      <c r="E20" s="73"/>
      <c r="F20" s="76"/>
      <c r="G20" s="76"/>
      <c r="H20" s="76"/>
      <c r="I20" s="76"/>
    </row>
    <row r="21" spans="2:21" ht="22.5" customHeight="1" x14ac:dyDescent="0.25">
      <c r="B21" s="76">
        <f t="shared" ca="1" si="0"/>
        <v>2019</v>
      </c>
      <c r="C21" s="75" t="str">
        <f t="shared" ca="1" si="1"/>
        <v>febrero</v>
      </c>
      <c r="D21" s="88">
        <f t="shared" ca="1" si="2"/>
        <v>15</v>
      </c>
      <c r="E21" s="73"/>
      <c r="F21" s="76"/>
      <c r="G21" s="76"/>
      <c r="H21" s="76"/>
      <c r="I21" s="76"/>
    </row>
    <row r="22" spans="2:21" ht="22.5" customHeight="1" x14ac:dyDescent="0.25">
      <c r="B22" s="76">
        <f t="shared" ca="1" si="0"/>
        <v>2019</v>
      </c>
      <c r="C22" s="75" t="str">
        <f t="shared" ca="1" si="1"/>
        <v>febrero</v>
      </c>
      <c r="D22" s="88">
        <f t="shared" ca="1" si="2"/>
        <v>16</v>
      </c>
      <c r="E22" s="73"/>
      <c r="F22" s="76"/>
      <c r="G22" s="76"/>
      <c r="H22" s="76"/>
      <c r="I22" s="76"/>
    </row>
    <row r="23" spans="2:21" ht="22.5" customHeight="1" x14ac:dyDescent="0.25">
      <c r="B23" s="76">
        <f t="shared" ca="1" si="0"/>
        <v>2019</v>
      </c>
      <c r="C23" s="75" t="str">
        <f t="shared" ca="1" si="1"/>
        <v>febrero</v>
      </c>
      <c r="D23" s="88">
        <f t="shared" ca="1" si="2"/>
        <v>17</v>
      </c>
      <c r="E23" s="73"/>
      <c r="F23" s="76"/>
      <c r="G23" s="76"/>
      <c r="H23" s="76"/>
      <c r="I23" s="76"/>
    </row>
    <row r="24" spans="2:21" ht="22.5" customHeight="1" x14ac:dyDescent="0.25">
      <c r="B24" s="76">
        <f t="shared" ca="1" si="0"/>
        <v>2019</v>
      </c>
      <c r="C24" s="75" t="str">
        <f t="shared" ca="1" si="1"/>
        <v>febrero</v>
      </c>
      <c r="D24" s="88">
        <f t="shared" ca="1" si="2"/>
        <v>18</v>
      </c>
      <c r="E24" s="73"/>
      <c r="F24" s="76"/>
      <c r="G24" s="76"/>
      <c r="H24" s="76"/>
      <c r="I24" s="76"/>
    </row>
    <row r="25" spans="2:21" ht="22.5" customHeight="1" x14ac:dyDescent="0.25">
      <c r="B25" s="76">
        <f t="shared" ca="1" si="0"/>
        <v>2019</v>
      </c>
      <c r="C25" s="75" t="str">
        <f t="shared" ca="1" si="1"/>
        <v>febrero</v>
      </c>
      <c r="D25" s="88">
        <f t="shared" ca="1" si="2"/>
        <v>19</v>
      </c>
      <c r="E25" s="73"/>
      <c r="F25" s="76"/>
      <c r="G25" s="76"/>
      <c r="H25" s="76"/>
      <c r="I25" s="76"/>
    </row>
    <row r="26" spans="2:21" ht="22.5" customHeight="1" x14ac:dyDescent="0.25">
      <c r="B26" s="76">
        <f t="shared" ca="1" si="0"/>
        <v>2019</v>
      </c>
      <c r="C26" s="75" t="str">
        <f t="shared" ca="1" si="1"/>
        <v>febrero</v>
      </c>
      <c r="D26" s="88">
        <f t="shared" ca="1" si="2"/>
        <v>20</v>
      </c>
      <c r="E26" s="73"/>
      <c r="F26" s="76"/>
      <c r="G26" s="76"/>
      <c r="H26" s="76"/>
      <c r="I26" s="76"/>
    </row>
    <row r="27" spans="2:21" ht="22.5" customHeight="1" x14ac:dyDescent="0.25">
      <c r="B27" s="76">
        <f t="shared" ca="1" si="0"/>
        <v>2019</v>
      </c>
      <c r="C27" s="75" t="str">
        <f t="shared" ca="1" si="1"/>
        <v>febrero</v>
      </c>
      <c r="D27" s="88">
        <f t="shared" ca="1" si="2"/>
        <v>21</v>
      </c>
      <c r="E27" s="73">
        <v>3300640</v>
      </c>
      <c r="F27" s="76" t="s">
        <v>167</v>
      </c>
      <c r="G27" s="76" t="s">
        <v>168</v>
      </c>
      <c r="H27" s="76" t="s">
        <v>180</v>
      </c>
      <c r="I27" s="76" t="s">
        <v>181</v>
      </c>
    </row>
    <row r="28" spans="2:21" ht="22.5" customHeight="1" x14ac:dyDescent="0.25">
      <c r="B28" s="76">
        <f t="shared" ca="1" si="0"/>
        <v>2019</v>
      </c>
      <c r="C28" s="75" t="str">
        <f t="shared" ca="1" si="1"/>
        <v>febrero</v>
      </c>
      <c r="D28" s="88">
        <f t="shared" ca="1" si="2"/>
        <v>22</v>
      </c>
      <c r="E28" s="73">
        <v>3300640</v>
      </c>
      <c r="F28" s="76" t="s">
        <v>167</v>
      </c>
      <c r="G28" s="76" t="s">
        <v>168</v>
      </c>
      <c r="H28" s="76" t="s">
        <v>180</v>
      </c>
      <c r="I28" s="76" t="s">
        <v>181</v>
      </c>
    </row>
    <row r="29" spans="2:21" ht="22.5" customHeight="1" x14ac:dyDescent="0.25">
      <c r="B29" s="76">
        <f t="shared" ca="1" si="0"/>
        <v>2019</v>
      </c>
      <c r="C29" s="75" t="str">
        <f t="shared" ca="1" si="1"/>
        <v>febrero</v>
      </c>
      <c r="D29" s="88">
        <f t="shared" ca="1" si="2"/>
        <v>23</v>
      </c>
      <c r="E29" s="73">
        <v>3300640</v>
      </c>
      <c r="F29" s="76" t="s">
        <v>167</v>
      </c>
      <c r="G29" s="76" t="s">
        <v>168</v>
      </c>
      <c r="H29" s="76" t="s">
        <v>180</v>
      </c>
      <c r="I29" s="76" t="s">
        <v>181</v>
      </c>
    </row>
    <row r="30" spans="2:21" ht="22.5" customHeight="1" x14ac:dyDescent="0.25">
      <c r="B30" s="76">
        <f t="shared" ca="1" si="0"/>
        <v>2019</v>
      </c>
      <c r="C30" s="75" t="str">
        <f t="shared" ca="1" si="1"/>
        <v>febrero</v>
      </c>
      <c r="D30" s="88">
        <f t="shared" ca="1" si="2"/>
        <v>24</v>
      </c>
      <c r="E30" s="73">
        <v>3300640</v>
      </c>
      <c r="F30" s="76" t="s">
        <v>167</v>
      </c>
      <c r="G30" s="76" t="s">
        <v>168</v>
      </c>
      <c r="H30" s="76" t="s">
        <v>180</v>
      </c>
      <c r="I30" s="76" t="s">
        <v>181</v>
      </c>
    </row>
    <row r="31" spans="2:21" ht="22.5" customHeight="1" x14ac:dyDescent="0.25">
      <c r="B31" s="76">
        <f t="shared" ca="1" si="0"/>
        <v>2019</v>
      </c>
      <c r="C31" s="75" t="str">
        <f t="shared" ca="1" si="1"/>
        <v>febrero</v>
      </c>
      <c r="D31" s="88">
        <f t="shared" ca="1" si="2"/>
        <v>25</v>
      </c>
      <c r="E31" s="73">
        <v>3300640</v>
      </c>
      <c r="F31" s="76" t="s">
        <v>167</v>
      </c>
      <c r="G31" s="76" t="s">
        <v>168</v>
      </c>
      <c r="H31" s="76" t="s">
        <v>180</v>
      </c>
      <c r="I31" s="76" t="s">
        <v>181</v>
      </c>
    </row>
    <row r="32" spans="2:21" ht="22.5" customHeight="1" x14ac:dyDescent="0.25">
      <c r="B32" s="76">
        <f t="shared" ca="1" si="0"/>
        <v>2019</v>
      </c>
      <c r="C32" s="75" t="str">
        <f t="shared" ca="1" si="1"/>
        <v>febrero</v>
      </c>
      <c r="D32" s="88">
        <f t="shared" ca="1" si="2"/>
        <v>26</v>
      </c>
      <c r="E32" s="73">
        <v>3300640</v>
      </c>
      <c r="F32" s="76" t="s">
        <v>167</v>
      </c>
      <c r="G32" s="76" t="s">
        <v>168</v>
      </c>
      <c r="H32" s="76" t="s">
        <v>180</v>
      </c>
      <c r="I32" s="76" t="s">
        <v>181</v>
      </c>
    </row>
    <row r="33" spans="2:24" ht="22.5" customHeight="1" x14ac:dyDescent="0.25">
      <c r="B33" s="76">
        <f t="shared" ca="1" si="0"/>
        <v>2019</v>
      </c>
      <c r="C33" s="75" t="str">
        <f t="shared" ca="1" si="1"/>
        <v>febrero</v>
      </c>
      <c r="D33" s="88">
        <f t="shared" ca="1" si="2"/>
        <v>27</v>
      </c>
      <c r="E33" s="73">
        <v>3300640</v>
      </c>
      <c r="F33" s="76" t="s">
        <v>167</v>
      </c>
      <c r="G33" s="76" t="s">
        <v>168</v>
      </c>
      <c r="H33" s="76" t="s">
        <v>180</v>
      </c>
      <c r="I33" s="76" t="s">
        <v>181</v>
      </c>
    </row>
    <row r="34" spans="2:24" ht="22.5" customHeight="1" x14ac:dyDescent="0.25">
      <c r="B34" s="76">
        <f t="shared" ca="1" si="0"/>
        <v>2019</v>
      </c>
      <c r="C34" s="75" t="str">
        <f t="shared" ca="1" si="1"/>
        <v>febrero</v>
      </c>
      <c r="D34" s="88">
        <f t="shared" ca="1" si="2"/>
        <v>28</v>
      </c>
      <c r="E34" s="73">
        <v>3300640</v>
      </c>
      <c r="F34" s="76" t="s">
        <v>167</v>
      </c>
      <c r="G34" s="76" t="s">
        <v>168</v>
      </c>
      <c r="H34" s="76" t="s">
        <v>180</v>
      </c>
      <c r="I34" s="76" t="s">
        <v>181</v>
      </c>
    </row>
    <row r="35" spans="2:24" ht="22.5" customHeight="1" x14ac:dyDescent="0.25">
      <c r="B35" s="76" t="str">
        <f t="shared" ca="1" si="0"/>
        <v/>
      </c>
      <c r="C35" s="75" t="str">
        <f t="shared" ca="1" si="1"/>
        <v/>
      </c>
      <c r="D35" s="88" t="str">
        <f t="shared" ca="1" si="2"/>
        <v/>
      </c>
      <c r="E35" s="73">
        <v>3300640</v>
      </c>
      <c r="F35" s="76" t="s">
        <v>167</v>
      </c>
      <c r="G35" s="76" t="s">
        <v>168</v>
      </c>
      <c r="H35" s="76" t="s">
        <v>180</v>
      </c>
      <c r="I35" s="76" t="s">
        <v>181</v>
      </c>
    </row>
    <row r="36" spans="2:24" ht="22.5" customHeight="1" x14ac:dyDescent="0.25">
      <c r="B36" s="76" t="e">
        <f t="shared" ca="1" si="0"/>
        <v>#VALUE!</v>
      </c>
      <c r="C36" s="75" t="e">
        <f t="shared" ca="1" si="1"/>
        <v>#VALUE!</v>
      </c>
      <c r="D36" s="88" t="e">
        <f t="shared" ca="1" si="2"/>
        <v>#VALUE!</v>
      </c>
      <c r="E36" s="73">
        <v>3300640</v>
      </c>
      <c r="F36" s="76" t="s">
        <v>167</v>
      </c>
      <c r="G36" s="76" t="s">
        <v>168</v>
      </c>
      <c r="H36" s="76" t="s">
        <v>180</v>
      </c>
      <c r="I36" s="76" t="s">
        <v>181</v>
      </c>
    </row>
    <row r="37" spans="2:24" ht="22.5" customHeight="1" x14ac:dyDescent="0.25">
      <c r="B37" s="76" t="e">
        <f t="shared" ca="1" si="0"/>
        <v>#VALUE!</v>
      </c>
      <c r="C37" s="75" t="e">
        <f t="shared" ca="1" si="1"/>
        <v>#VALUE!</v>
      </c>
      <c r="D37" s="88" t="e">
        <f t="shared" ca="1" si="2"/>
        <v>#VALUE!</v>
      </c>
      <c r="E37" s="73">
        <v>3300640</v>
      </c>
      <c r="F37" s="76" t="s">
        <v>167</v>
      </c>
      <c r="G37" s="76" t="s">
        <v>168</v>
      </c>
      <c r="H37" s="76" t="s">
        <v>180</v>
      </c>
      <c r="I37" s="76" t="s">
        <v>181</v>
      </c>
    </row>
    <row r="38" spans="2:24" ht="22.5" customHeight="1" thickBot="1" x14ac:dyDescent="0.3">
      <c r="B38" s="122" t="s">
        <v>170</v>
      </c>
      <c r="C38" s="122"/>
      <c r="D38" s="122"/>
      <c r="E38" s="74">
        <f>+SUM(E7:E37)</f>
        <v>36307040</v>
      </c>
    </row>
    <row r="39" spans="2:24" ht="22.5" customHeight="1" x14ac:dyDescent="0.25">
      <c r="B39" s="79"/>
      <c r="C39" s="79"/>
      <c r="D39" s="79"/>
    </row>
    <row r="40" spans="2:24" s="68" customFormat="1" x14ac:dyDescent="0.25"/>
    <row r="41" spans="2:24" s="68" customFormat="1" x14ac:dyDescent="0.25"/>
    <row r="42" spans="2:24" s="68" customFormat="1" ht="30" customHeight="1" x14ac:dyDescent="0.25">
      <c r="B42" s="108" t="s">
        <v>172</v>
      </c>
      <c r="C42" s="108"/>
      <c r="D42" s="108"/>
      <c r="E42" s="108"/>
      <c r="F42" s="108"/>
      <c r="G42" s="108"/>
      <c r="H42" s="108"/>
      <c r="I42" s="108"/>
      <c r="J42" s="108"/>
      <c r="K42" s="109"/>
      <c r="L42" s="109"/>
      <c r="M42" s="109"/>
      <c r="N42" s="109"/>
      <c r="O42" s="109"/>
      <c r="P42" s="109"/>
      <c r="Q42" s="109"/>
    </row>
    <row r="43" spans="2:24" s="68" customFormat="1" ht="33" customHeight="1" thickBot="1" x14ac:dyDescent="0.3">
      <c r="B43" s="110" t="s">
        <v>173</v>
      </c>
      <c r="C43" s="110"/>
      <c r="D43" s="71"/>
      <c r="E43" s="71" t="s">
        <v>174</v>
      </c>
      <c r="F43" s="71"/>
      <c r="G43" s="110" t="s">
        <v>174</v>
      </c>
      <c r="H43" s="110"/>
      <c r="I43" s="110"/>
      <c r="J43" s="110"/>
      <c r="K43" s="111" t="s">
        <v>175</v>
      </c>
      <c r="L43" s="111"/>
      <c r="M43" s="111"/>
      <c r="N43" s="111"/>
      <c r="O43" s="111"/>
      <c r="P43" s="111"/>
      <c r="Q43" s="111"/>
      <c r="R43" s="110" t="s">
        <v>176</v>
      </c>
      <c r="S43" s="110"/>
      <c r="T43" s="110"/>
      <c r="U43" s="110"/>
      <c r="V43" s="110"/>
      <c r="W43" s="110"/>
      <c r="X43" s="110"/>
    </row>
    <row r="44" spans="2:24" s="68" customFormat="1" x14ac:dyDescent="0.25">
      <c r="B44" s="112"/>
      <c r="C44" s="112"/>
      <c r="D44" s="90"/>
      <c r="E44" s="82"/>
      <c r="F44" s="91"/>
      <c r="G44" s="113"/>
      <c r="H44" s="113"/>
      <c r="I44" s="113"/>
      <c r="J44" s="113"/>
      <c r="K44" s="80"/>
      <c r="L44" s="80"/>
      <c r="M44" s="80"/>
      <c r="N44" s="80"/>
      <c r="O44" s="80"/>
      <c r="P44" s="80"/>
      <c r="Q44" s="80"/>
      <c r="R44" s="114"/>
      <c r="S44" s="114"/>
      <c r="T44" s="114"/>
      <c r="U44" s="114"/>
      <c r="V44" s="114"/>
      <c r="W44" s="114"/>
      <c r="X44" s="114"/>
    </row>
    <row r="45" spans="2:24" s="68" customFormat="1" x14ac:dyDescent="0.25">
      <c r="B45" s="115"/>
      <c r="C45" s="115"/>
      <c r="D45" s="76"/>
      <c r="E45" s="82"/>
      <c r="F45" s="82"/>
      <c r="G45" s="116"/>
      <c r="H45" s="116"/>
      <c r="I45" s="116"/>
      <c r="J45" s="116"/>
      <c r="K45" s="80"/>
      <c r="L45" s="80"/>
      <c r="M45" s="80"/>
      <c r="N45" s="80"/>
      <c r="O45" s="80"/>
      <c r="P45" s="80"/>
      <c r="Q45" s="80"/>
      <c r="R45" s="117"/>
      <c r="S45" s="117"/>
      <c r="T45" s="117"/>
      <c r="U45" s="117"/>
      <c r="V45" s="117"/>
      <c r="W45" s="117"/>
      <c r="X45" s="117"/>
    </row>
    <row r="46" spans="2:24" s="68" customFormat="1" x14ac:dyDescent="0.25">
      <c r="B46" s="115"/>
      <c r="C46" s="115"/>
      <c r="D46" s="76"/>
      <c r="E46" s="82"/>
      <c r="F46" s="82"/>
      <c r="G46" s="116"/>
      <c r="H46" s="116"/>
      <c r="I46" s="116"/>
      <c r="J46" s="116"/>
      <c r="K46" s="80"/>
      <c r="L46" s="80"/>
      <c r="M46" s="80"/>
      <c r="N46" s="80"/>
      <c r="O46" s="80"/>
      <c r="P46" s="80"/>
      <c r="Q46" s="80"/>
      <c r="R46" s="117"/>
      <c r="S46" s="117"/>
      <c r="T46" s="117"/>
      <c r="U46" s="117"/>
      <c r="V46" s="117"/>
      <c r="W46" s="117"/>
      <c r="X46" s="117"/>
    </row>
    <row r="47" spans="2:24" s="68" customFormat="1" x14ac:dyDescent="0.25">
      <c r="B47" s="115"/>
      <c r="C47" s="115"/>
      <c r="D47" s="76"/>
      <c r="E47" s="82"/>
      <c r="F47" s="82"/>
      <c r="G47" s="116"/>
      <c r="H47" s="116"/>
      <c r="I47" s="116"/>
      <c r="J47" s="116"/>
      <c r="K47" s="80"/>
      <c r="L47" s="80"/>
      <c r="M47" s="80"/>
      <c r="N47" s="80"/>
      <c r="O47" s="80"/>
      <c r="P47" s="80"/>
      <c r="Q47" s="80"/>
      <c r="R47" s="117"/>
      <c r="S47" s="117"/>
      <c r="T47" s="117"/>
      <c r="U47" s="117"/>
      <c r="V47" s="117"/>
      <c r="W47" s="117"/>
      <c r="X47" s="117"/>
    </row>
    <row r="48" spans="2:24" s="68" customFormat="1" x14ac:dyDescent="0.25">
      <c r="B48" s="115"/>
      <c r="C48" s="115"/>
      <c r="D48" s="76"/>
      <c r="E48" s="82"/>
      <c r="F48" s="82"/>
      <c r="G48" s="116"/>
      <c r="H48" s="116"/>
      <c r="I48" s="116"/>
      <c r="J48" s="116"/>
      <c r="K48" s="80"/>
      <c r="L48" s="80"/>
      <c r="M48" s="80"/>
      <c r="N48" s="80"/>
      <c r="O48" s="80"/>
      <c r="P48" s="80"/>
      <c r="Q48" s="80"/>
      <c r="R48" s="117"/>
      <c r="S48" s="117"/>
      <c r="T48" s="117"/>
      <c r="U48" s="117"/>
      <c r="V48" s="117"/>
      <c r="W48" s="117"/>
      <c r="X48" s="117"/>
    </row>
    <row r="49" spans="2:24" s="68" customFormat="1" ht="17.25" thickBot="1" x14ac:dyDescent="0.3">
      <c r="B49" s="118"/>
      <c r="C49" s="118"/>
      <c r="D49" s="77"/>
      <c r="E49" s="83"/>
      <c r="F49" s="83"/>
      <c r="G49" s="119"/>
      <c r="H49" s="119"/>
      <c r="I49" s="119"/>
      <c r="J49" s="119"/>
      <c r="K49" s="81"/>
      <c r="L49" s="81"/>
      <c r="M49" s="81"/>
      <c r="N49" s="81"/>
      <c r="O49" s="81"/>
      <c r="P49" s="81"/>
      <c r="Q49" s="81"/>
      <c r="R49" s="118"/>
      <c r="S49" s="118"/>
      <c r="T49" s="118"/>
      <c r="U49" s="118"/>
      <c r="V49" s="118"/>
      <c r="W49" s="118"/>
      <c r="X49" s="118"/>
    </row>
    <row r="50" spans="2:24" s="68" customFormat="1" x14ac:dyDescent="0.25"/>
    <row r="51" spans="2:24" s="68" customFormat="1" x14ac:dyDescent="0.25"/>
    <row r="52" spans="2:24" x14ac:dyDescent="0.25"/>
    <row r="53" spans="2:24" ht="18.75" x14ac:dyDescent="0.25">
      <c r="B53" s="120" t="s">
        <v>177</v>
      </c>
      <c r="C53" s="120"/>
      <c r="D53" s="120"/>
      <c r="E53" s="120"/>
      <c r="F53" s="120"/>
      <c r="G53" s="120"/>
      <c r="H53" s="78"/>
      <c r="I53" s="78"/>
    </row>
    <row r="54" spans="2:24" x14ac:dyDescent="0.2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2:24" x14ac:dyDescent="0.2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2:24" x14ac:dyDescent="0.2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2:24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2:24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2:24" x14ac:dyDescent="0.2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2:24" x14ac:dyDescent="0.2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2:24" x14ac:dyDescent="0.2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2:24" x14ac:dyDescent="0.2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2:24" x14ac:dyDescent="0.25"/>
  </sheetData>
  <mergeCells count="34">
    <mergeCell ref="B53:G53"/>
    <mergeCell ref="B54:X62"/>
    <mergeCell ref="B48:C48"/>
    <mergeCell ref="G48:J48"/>
    <mergeCell ref="R48:X48"/>
    <mergeCell ref="B49:C49"/>
    <mergeCell ref="G49:J49"/>
    <mergeCell ref="R49:X49"/>
    <mergeCell ref="B46:C46"/>
    <mergeCell ref="G46:J46"/>
    <mergeCell ref="R46:X46"/>
    <mergeCell ref="B47:C47"/>
    <mergeCell ref="G47:J47"/>
    <mergeCell ref="R47:X47"/>
    <mergeCell ref="B44:C44"/>
    <mergeCell ref="G44:J44"/>
    <mergeCell ref="R44:X44"/>
    <mergeCell ref="B45:C45"/>
    <mergeCell ref="G45:J45"/>
    <mergeCell ref="R45:X45"/>
    <mergeCell ref="S17:T17"/>
    <mergeCell ref="B38:D38"/>
    <mergeCell ref="B42:J42"/>
    <mergeCell ref="K42:Q42"/>
    <mergeCell ref="B43:C43"/>
    <mergeCell ref="G43:J43"/>
    <mergeCell ref="K43:Q43"/>
    <mergeCell ref="R43:X43"/>
    <mergeCell ref="C2:G2"/>
    <mergeCell ref="E3:F3"/>
    <mergeCell ref="B4:E4"/>
    <mergeCell ref="K4:N4"/>
    <mergeCell ref="S4:Y4"/>
    <mergeCell ref="K11:L11"/>
  </mergeCells>
  <dataValidations count="4">
    <dataValidation type="list" allowBlank="1" showInputMessage="1" showErrorMessage="1" sqref="F7:F37 V7:V16 N7:N10" xr:uid="{047D8438-1EB4-4972-8B79-2F2296B1823B}">
      <formula1>MODALIDAD</formula1>
    </dataValidation>
    <dataValidation type="list" allowBlank="1" showInputMessage="1" showErrorMessage="1" sqref="G7:G37 W7:W16 O7:O10" xr:uid="{4792BA69-14BE-4FEC-B4FD-762B8D0F9E3F}">
      <formula1>TIPO_SUMINISTRO</formula1>
    </dataValidation>
    <dataValidation type="list" allowBlank="1" showInputMessage="1" showErrorMessage="1" sqref="G3" xr:uid="{BFB0A6D7-2EE3-4DBD-8A74-A224781CE8E6}">
      <formula1>GASODUCTO</formula1>
    </dataValidation>
    <dataValidation type="list" allowBlank="1" showInputMessage="1" showErrorMessage="1" sqref="K44:Q49" xr:uid="{5A65CFB7-54EF-4744-B6D5-50C194A46242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36928B-E12D-4445-B5ED-1CE31FBC91AB}">
          <x14:formula1>
            <xm:f>'S:\Departamento de Análisis Económico\3.1 Stock y Disponibilidad de Combustibles\01 Información de disponibilidad de recursos primarios\2019\01 Enero\Enel\21-01-2019\[0035_2019_YPFTOTAL_Formato_Informacion_Recurso_primario.xlsx]Aux'!#REF!</xm:f>
          </x14:formula1>
          <xm:sqref>C2:G2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02EB-4A1F-4CF8-8979-2E4942B03B98}">
  <sheetPr>
    <pageSetUpPr fitToPage="1"/>
  </sheetPr>
  <dimension ref="A1:Z63"/>
  <sheetViews>
    <sheetView showGridLines="0" zoomScale="80" zoomScaleNormal="80" workbookViewId="0">
      <selection activeCell="F12" sqref="F12"/>
    </sheetView>
  </sheetViews>
  <sheetFormatPr baseColWidth="10" defaultColWidth="0" defaultRowHeight="16.5" zeroHeight="1" x14ac:dyDescent="0.25"/>
  <cols>
    <col min="1" max="1" width="3" style="70" customWidth="1"/>
    <col min="2" max="2" width="16.42578125" style="70" customWidth="1"/>
    <col min="3" max="4" width="13.7109375" style="70" customWidth="1"/>
    <col min="5" max="5" width="15.85546875" style="70" bestFit="1" customWidth="1"/>
    <col min="6" max="6" width="20.85546875" style="70" bestFit="1" customWidth="1"/>
    <col min="7" max="7" width="22.28515625" style="70" bestFit="1" customWidth="1"/>
    <col min="8" max="8" width="27.7109375" style="70" customWidth="1"/>
    <col min="9" max="9" width="70.7109375" style="70" customWidth="1"/>
    <col min="10" max="10" width="4.28515625" style="70" customWidth="1"/>
    <col min="11" max="11" width="30.140625" style="70" customWidth="1"/>
    <col min="12" max="16" width="18.7109375" style="70" customWidth="1"/>
    <col min="17" max="17" width="70.7109375" style="70" customWidth="1"/>
    <col min="18" max="18" width="2.85546875" style="70" customWidth="1"/>
    <col min="19" max="24" width="18.7109375" style="70" customWidth="1"/>
    <col min="25" max="25" width="70.7109375" style="70" customWidth="1"/>
    <col min="26" max="26" width="11.42578125" style="70" customWidth="1"/>
    <col min="27" max="16384" width="11.42578125" style="70" hidden="1"/>
  </cols>
  <sheetData>
    <row r="1" spans="2:25" ht="17.25" thickBot="1" x14ac:dyDescent="0.3"/>
    <row r="2" spans="2:25" ht="60.75" customHeight="1" thickBot="1" x14ac:dyDescent="0.3">
      <c r="B2" s="69" t="s">
        <v>155</v>
      </c>
      <c r="C2" s="66" t="s">
        <v>182</v>
      </c>
      <c r="D2" s="65"/>
      <c r="E2" s="65"/>
      <c r="F2" s="65"/>
      <c r="G2" s="103"/>
      <c r="K2" s="86"/>
    </row>
    <row r="3" spans="2:25" ht="60.75" customHeight="1" thickBot="1" x14ac:dyDescent="0.3">
      <c r="B3" s="69"/>
      <c r="C3" s="69"/>
      <c r="D3" s="69"/>
      <c r="E3" s="107" t="s">
        <v>156</v>
      </c>
      <c r="F3" s="107"/>
      <c r="G3" s="84"/>
      <c r="H3" s="94"/>
      <c r="K3" s="86"/>
    </row>
    <row r="4" spans="2:25" ht="21" customHeight="1" x14ac:dyDescent="0.25">
      <c r="B4" s="104" t="str">
        <f ca="1">+CONCATENATE("DISPONIBILIDAD DIARIA ",UPPER(TEXT(EDATE(TODAY(),0),"mmmm"))," ",YEAR(TODAY())," [Mm3]")</f>
        <v>DISPONIBILIDAD DIARIA FEBRERO 2019 [Mm3]</v>
      </c>
      <c r="C4" s="104"/>
      <c r="D4" s="104"/>
      <c r="E4" s="104"/>
      <c r="F4" s="87"/>
      <c r="G4" s="87"/>
      <c r="H4" s="87"/>
      <c r="I4" s="87"/>
      <c r="K4" s="104" t="str">
        <f ca="1">+CONCATENATE("DISPONIBILIDAD SEMANAL ",UPPER(TEXT(EDATE(TODAY(),0),"mmmm"))," ",2019," [Mm3]")</f>
        <v>DISPONIBILIDAD SEMANAL FEBRERO 2019 [Mm3]</v>
      </c>
      <c r="L4" s="104"/>
      <c r="M4" s="104"/>
      <c r="N4" s="104"/>
      <c r="O4" s="67"/>
      <c r="P4" s="67"/>
      <c r="Q4" s="67"/>
      <c r="S4" s="104" t="str">
        <f ca="1">+CONCATENATE("DISPONIBILIDAD MENSUAL ",UPPER(TEXT(EDATE(TODAY(),2),"mmmm"))," ",YEAR(EDATE(TODAY(),3)),," A ",UPPER(TEXT(EDATE(TODAY(),11),"mmmm"))," ",YEAR(EDATE(TODAY(),12))," [Mm3]")</f>
        <v>DISPONIBILIDAD MENSUAL ABRIL 2019 A ENERO 2020 [Mm3]</v>
      </c>
      <c r="T4" s="104"/>
      <c r="U4" s="104"/>
      <c r="V4" s="104"/>
      <c r="W4" s="104"/>
      <c r="X4" s="104"/>
      <c r="Y4" s="104"/>
    </row>
    <row r="5" spans="2:25" ht="21" customHeight="1" x14ac:dyDescent="0.25">
      <c r="B5" s="85"/>
      <c r="C5" s="85"/>
      <c r="D5" s="85"/>
      <c r="E5" s="85"/>
      <c r="F5" s="85"/>
      <c r="G5" s="124">
        <f ca="1">+TODAY()</f>
        <v>43511</v>
      </c>
      <c r="H5" s="87"/>
      <c r="I5" s="87"/>
      <c r="K5" s="87"/>
      <c r="L5" s="85"/>
      <c r="M5" s="85"/>
      <c r="N5" s="85"/>
      <c r="O5" s="67"/>
      <c r="P5" s="67"/>
      <c r="Q5" s="67"/>
      <c r="S5" s="85"/>
      <c r="T5" s="85"/>
      <c r="U5" s="85"/>
      <c r="V5" s="85"/>
      <c r="W5" s="85"/>
      <c r="X5" s="85"/>
      <c r="Y5" s="85"/>
    </row>
    <row r="6" spans="2:25" s="68" customFormat="1" ht="70.5" customHeight="1" thickBot="1" x14ac:dyDescent="0.3">
      <c r="B6" s="71" t="s">
        <v>53</v>
      </c>
      <c r="C6" s="71" t="s">
        <v>54</v>
      </c>
      <c r="D6" s="71" t="s">
        <v>158</v>
      </c>
      <c r="E6" s="71" t="s">
        <v>159</v>
      </c>
      <c r="F6" s="71" t="s">
        <v>160</v>
      </c>
      <c r="G6" s="71" t="s">
        <v>161</v>
      </c>
      <c r="H6" s="71" t="s">
        <v>162</v>
      </c>
      <c r="I6" s="71" t="s">
        <v>163</v>
      </c>
      <c r="K6" s="92" t="s">
        <v>164</v>
      </c>
      <c r="L6" s="71" t="s">
        <v>165</v>
      </c>
      <c r="M6" s="71" t="s">
        <v>166</v>
      </c>
      <c r="N6" s="71" t="s">
        <v>160</v>
      </c>
      <c r="O6" s="71" t="s">
        <v>161</v>
      </c>
      <c r="P6" s="71" t="s">
        <v>162</v>
      </c>
      <c r="Q6" s="71" t="s">
        <v>163</v>
      </c>
      <c r="S6" s="71" t="s">
        <v>53</v>
      </c>
      <c r="T6" s="71" t="s">
        <v>54</v>
      </c>
      <c r="U6" s="71" t="s">
        <v>166</v>
      </c>
      <c r="V6" s="71" t="s">
        <v>160</v>
      </c>
      <c r="W6" s="71" t="s">
        <v>161</v>
      </c>
      <c r="X6" s="71" t="s">
        <v>162</v>
      </c>
      <c r="Y6" s="71" t="s">
        <v>163</v>
      </c>
    </row>
    <row r="7" spans="2:25" ht="22.5" customHeight="1" x14ac:dyDescent="0.25">
      <c r="B7" s="88">
        <f ca="1">+IF(D7&lt;&gt;"",YEAR(TODAY()),"")</f>
        <v>2019</v>
      </c>
      <c r="C7" s="75" t="str">
        <f ca="1">+IF(D7&lt;&gt;"",TEXT(EDATE(TODAY(),0),"mmmm"),"")</f>
        <v>febrero</v>
      </c>
      <c r="D7" s="88">
        <v>1</v>
      </c>
      <c r="E7" s="73">
        <v>240000</v>
      </c>
      <c r="F7" s="76" t="s">
        <v>167</v>
      </c>
      <c r="G7" s="76" t="s">
        <v>168</v>
      </c>
      <c r="H7" s="76"/>
      <c r="I7" s="76"/>
      <c r="K7" s="75">
        <f ca="1">+DATE(YEAR(EDATE(TODAY(),0)),MONTH(EDATE(TODAY(),0)),1)</f>
        <v>43497</v>
      </c>
      <c r="L7" s="75">
        <f ca="1">+K7+6</f>
        <v>43503</v>
      </c>
      <c r="M7" s="73">
        <v>0</v>
      </c>
      <c r="N7" s="76" t="s">
        <v>167</v>
      </c>
      <c r="O7" s="76" t="s">
        <v>168</v>
      </c>
      <c r="P7" s="88"/>
      <c r="Q7" s="125"/>
      <c r="S7" s="88">
        <f ca="1">+YEAR(EDATE(TODAY(),3))</f>
        <v>2019</v>
      </c>
      <c r="T7" s="75" t="str">
        <f ca="1">+TEXT(EDATE(TODAY(),2),"mmmm")</f>
        <v>abril</v>
      </c>
      <c r="U7" s="73">
        <v>0</v>
      </c>
      <c r="V7" s="76" t="s">
        <v>167</v>
      </c>
      <c r="W7" s="76" t="s">
        <v>168</v>
      </c>
      <c r="X7" s="88"/>
      <c r="Y7" s="88" t="s">
        <v>183</v>
      </c>
    </row>
    <row r="8" spans="2:25" ht="22.5" customHeight="1" x14ac:dyDescent="0.25">
      <c r="B8" s="76">
        <f t="shared" ref="B8:B20" ca="1" si="0">+IF(D8&lt;&gt;"",YEAR(TODAY()),"")</f>
        <v>2019</v>
      </c>
      <c r="C8" s="75" t="str">
        <f t="shared" ref="C8:C20" ca="1" si="1">+IF(D8&lt;&gt;"",TEXT(EDATE(TODAY(),0),"mmmm"),"")</f>
        <v>febrero</v>
      </c>
      <c r="D8" s="88">
        <f ca="1">+IF(D7+1&lt;=DAY(EOMONTH(TODAY(),1)),D7+1,"")</f>
        <v>2</v>
      </c>
      <c r="E8" s="73">
        <v>240000</v>
      </c>
      <c r="F8" s="76" t="s">
        <v>167</v>
      </c>
      <c r="G8" s="76" t="s">
        <v>168</v>
      </c>
      <c r="H8" s="76"/>
      <c r="I8" s="76"/>
      <c r="K8" s="75">
        <f ca="1">+$L$7+1</f>
        <v>43504</v>
      </c>
      <c r="L8" s="75">
        <f ca="1">+IF(DAY(EOMONTH(TODAY(),2))=28,K8+6,K8+7)</f>
        <v>43511</v>
      </c>
      <c r="M8" s="73">
        <v>0</v>
      </c>
      <c r="N8" s="76" t="s">
        <v>167</v>
      </c>
      <c r="O8" s="76" t="s">
        <v>168</v>
      </c>
      <c r="P8" s="88"/>
      <c r="Q8" s="88"/>
      <c r="S8" s="88">
        <f ca="1">+YEAR(EDATE(TODAY(),4))</f>
        <v>2019</v>
      </c>
      <c r="T8" s="75" t="str">
        <f ca="1">+TEXT(EDATE(TODAY(),3),"mmmm")</f>
        <v>mayo</v>
      </c>
      <c r="U8" s="73">
        <v>0</v>
      </c>
      <c r="V8" s="76" t="s">
        <v>167</v>
      </c>
      <c r="W8" s="76" t="s">
        <v>168</v>
      </c>
      <c r="X8" s="88"/>
      <c r="Y8" s="88" t="s">
        <v>183</v>
      </c>
    </row>
    <row r="9" spans="2:25" ht="22.5" customHeight="1" x14ac:dyDescent="0.25">
      <c r="B9" s="76">
        <f t="shared" ca="1" si="0"/>
        <v>2019</v>
      </c>
      <c r="C9" s="75" t="str">
        <f t="shared" ca="1" si="1"/>
        <v>febrero</v>
      </c>
      <c r="D9" s="88">
        <f t="shared" ref="D9:D20" ca="1" si="2">+IF(D8+1&lt;=DAY(EOMONTH(TODAY(),1)),D8+1,"")</f>
        <v>3</v>
      </c>
      <c r="E9" s="73">
        <v>240000</v>
      </c>
      <c r="F9" s="76" t="s">
        <v>167</v>
      </c>
      <c r="G9" s="76" t="s">
        <v>168</v>
      </c>
      <c r="H9" s="76"/>
      <c r="I9" s="76"/>
      <c r="K9" s="75">
        <f ca="1">+$L$8+1</f>
        <v>43512</v>
      </c>
      <c r="L9" s="75">
        <f ca="1">+IF(DAY(EOMONTH(TODAY(),2))=31,K9+7,K9+6)</f>
        <v>43518</v>
      </c>
      <c r="M9" s="73">
        <v>0</v>
      </c>
      <c r="N9" s="76" t="s">
        <v>167</v>
      </c>
      <c r="O9" s="76" t="s">
        <v>168</v>
      </c>
      <c r="P9" s="88"/>
      <c r="Q9" s="88"/>
      <c r="S9" s="88">
        <f ca="1">+YEAR(EDATE(TODAY(),5))</f>
        <v>2019</v>
      </c>
      <c r="T9" s="75" t="str">
        <f ca="1">+TEXT(EDATE(TODAY(),4),"mmmm")</f>
        <v>junio</v>
      </c>
      <c r="U9" s="73">
        <v>0</v>
      </c>
      <c r="V9" s="76" t="s">
        <v>167</v>
      </c>
      <c r="W9" s="76" t="s">
        <v>168</v>
      </c>
      <c r="X9" s="88"/>
      <c r="Y9" s="88" t="s">
        <v>183</v>
      </c>
    </row>
    <row r="10" spans="2:25" ht="22.5" customHeight="1" thickBot="1" x14ac:dyDescent="0.3">
      <c r="B10" s="76">
        <f t="shared" ca="1" si="0"/>
        <v>2019</v>
      </c>
      <c r="C10" s="75" t="str">
        <f t="shared" ca="1" si="1"/>
        <v>febrero</v>
      </c>
      <c r="D10" s="88">
        <f t="shared" ca="1" si="2"/>
        <v>4</v>
      </c>
      <c r="E10" s="73">
        <v>240000</v>
      </c>
      <c r="F10" s="76" t="s">
        <v>167</v>
      </c>
      <c r="G10" s="76" t="s">
        <v>168</v>
      </c>
      <c r="H10" s="76"/>
      <c r="I10" s="76"/>
      <c r="K10" s="72">
        <f ca="1">+$L$9+1</f>
        <v>43519</v>
      </c>
      <c r="L10" s="72">
        <f ca="1">+IF(DAY(EOMONTH(TODAY(),2))=31,K10+7,K10+6)</f>
        <v>43525</v>
      </c>
      <c r="M10" s="95">
        <v>0</v>
      </c>
      <c r="N10" s="89" t="s">
        <v>167</v>
      </c>
      <c r="O10" s="89" t="s">
        <v>168</v>
      </c>
      <c r="P10" s="89"/>
      <c r="Q10" s="89"/>
      <c r="S10" s="88">
        <f ca="1">+YEAR(EDATE(TODAY(),6))</f>
        <v>2019</v>
      </c>
      <c r="T10" s="75" t="str">
        <f ca="1">+TEXT(EDATE(TODAY(),5),"mmmm")</f>
        <v>julio</v>
      </c>
      <c r="U10" s="73">
        <v>0</v>
      </c>
      <c r="V10" s="76" t="s">
        <v>167</v>
      </c>
      <c r="W10" s="76" t="s">
        <v>168</v>
      </c>
      <c r="X10" s="88"/>
      <c r="Y10" s="88" t="s">
        <v>183</v>
      </c>
    </row>
    <row r="11" spans="2:25" ht="22.5" customHeight="1" thickBot="1" x14ac:dyDescent="0.3">
      <c r="B11" s="76">
        <f t="shared" ca="1" si="0"/>
        <v>2019</v>
      </c>
      <c r="C11" s="75" t="str">
        <f t="shared" ca="1" si="1"/>
        <v>febrero</v>
      </c>
      <c r="D11" s="88">
        <f t="shared" ca="1" si="2"/>
        <v>5</v>
      </c>
      <c r="E11" s="73">
        <v>240000</v>
      </c>
      <c r="F11" s="76" t="s">
        <v>167</v>
      </c>
      <c r="G11" s="76" t="s">
        <v>168</v>
      </c>
      <c r="H11" s="76"/>
      <c r="I11" s="76"/>
      <c r="K11" s="105" t="s">
        <v>170</v>
      </c>
      <c r="L11" s="105"/>
      <c r="M11" s="74">
        <f>+SUM(M7:M10)</f>
        <v>0</v>
      </c>
      <c r="S11" s="88">
        <f ca="1">+YEAR(EDATE(TODAY(),7))</f>
        <v>2019</v>
      </c>
      <c r="T11" s="75" t="str">
        <f ca="1">+TEXT(EDATE(TODAY(),6),"mmmm")</f>
        <v>agosto</v>
      </c>
      <c r="U11" s="73">
        <v>0</v>
      </c>
      <c r="V11" s="76" t="s">
        <v>167</v>
      </c>
      <c r="W11" s="70" t="s">
        <v>168</v>
      </c>
      <c r="X11" s="76"/>
      <c r="Y11" s="88" t="s">
        <v>183</v>
      </c>
    </row>
    <row r="12" spans="2:25" ht="22.5" customHeight="1" x14ac:dyDescent="0.25">
      <c r="B12" s="76">
        <f t="shared" ca="1" si="0"/>
        <v>2019</v>
      </c>
      <c r="C12" s="75" t="str">
        <f t="shared" ca="1" si="1"/>
        <v>febrero</v>
      </c>
      <c r="D12" s="88">
        <f t="shared" ca="1" si="2"/>
        <v>6</v>
      </c>
      <c r="E12" s="73">
        <v>240000</v>
      </c>
      <c r="F12" s="76" t="s">
        <v>167</v>
      </c>
      <c r="G12" s="76" t="s">
        <v>168</v>
      </c>
      <c r="H12" s="76"/>
      <c r="I12" s="76"/>
      <c r="K12" s="93"/>
      <c r="S12" s="88">
        <f ca="1">+YEAR(EDATE(TODAY(),8))</f>
        <v>2019</v>
      </c>
      <c r="T12" s="75" t="str">
        <f ca="1">+TEXT(EDATE(TODAY(),7),"mmmm")</f>
        <v>septiembre</v>
      </c>
      <c r="U12" s="73">
        <v>0</v>
      </c>
      <c r="V12" s="76" t="s">
        <v>167</v>
      </c>
      <c r="W12" s="76" t="s">
        <v>168</v>
      </c>
      <c r="X12" s="88"/>
      <c r="Y12" s="88" t="s">
        <v>183</v>
      </c>
    </row>
    <row r="13" spans="2:25" ht="22.5" customHeight="1" x14ac:dyDescent="0.25">
      <c r="B13" s="76">
        <f t="shared" ca="1" si="0"/>
        <v>2019</v>
      </c>
      <c r="C13" s="75" t="str">
        <f t="shared" ca="1" si="1"/>
        <v>febrero</v>
      </c>
      <c r="D13" s="88">
        <f t="shared" ca="1" si="2"/>
        <v>7</v>
      </c>
      <c r="E13" s="73">
        <v>240000</v>
      </c>
      <c r="F13" s="76" t="s">
        <v>167</v>
      </c>
      <c r="G13" s="76" t="s">
        <v>168</v>
      </c>
      <c r="H13" s="76"/>
      <c r="I13" s="76"/>
      <c r="S13" s="88">
        <f ca="1">+YEAR(EDATE(TODAY(),9))</f>
        <v>2019</v>
      </c>
      <c r="T13" s="75" t="str">
        <f ca="1">+TEXT(EDATE(TODAY(),8),"mmmm")</f>
        <v>octubre</v>
      </c>
      <c r="U13" s="73">
        <v>0</v>
      </c>
      <c r="V13" s="76" t="s">
        <v>167</v>
      </c>
      <c r="W13" s="76" t="s">
        <v>168</v>
      </c>
      <c r="X13" s="88"/>
      <c r="Y13" s="88" t="s">
        <v>183</v>
      </c>
    </row>
    <row r="14" spans="2:25" ht="22.5" customHeight="1" x14ac:dyDescent="0.25">
      <c r="B14" s="76">
        <f t="shared" ca="1" si="0"/>
        <v>2019</v>
      </c>
      <c r="C14" s="75" t="str">
        <f t="shared" ca="1" si="1"/>
        <v>febrero</v>
      </c>
      <c r="D14" s="88">
        <f t="shared" ca="1" si="2"/>
        <v>8</v>
      </c>
      <c r="E14" s="73">
        <v>240001</v>
      </c>
      <c r="F14" s="76" t="s">
        <v>167</v>
      </c>
      <c r="G14" s="76" t="s">
        <v>168</v>
      </c>
      <c r="H14" s="76"/>
      <c r="I14" s="76"/>
      <c r="S14" s="88">
        <f ca="1">+YEAR(EDATE(TODAY(),10))</f>
        <v>2019</v>
      </c>
      <c r="T14" s="75" t="str">
        <f ca="1">+TEXT(EDATE(TODAY(),9),"mmmm")</f>
        <v>noviembre</v>
      </c>
      <c r="U14" s="73">
        <v>0</v>
      </c>
      <c r="V14" s="76" t="s">
        <v>167</v>
      </c>
      <c r="W14" s="76" t="s">
        <v>168</v>
      </c>
      <c r="X14" s="88"/>
      <c r="Y14" s="88" t="s">
        <v>183</v>
      </c>
    </row>
    <row r="15" spans="2:25" ht="22.5" customHeight="1" x14ac:dyDescent="0.25">
      <c r="B15" s="76">
        <f t="shared" ca="1" si="0"/>
        <v>2019</v>
      </c>
      <c r="C15" s="75" t="str">
        <f t="shared" ca="1" si="1"/>
        <v>febrero</v>
      </c>
      <c r="D15" s="88">
        <f t="shared" ca="1" si="2"/>
        <v>9</v>
      </c>
      <c r="E15" s="73">
        <v>240002</v>
      </c>
      <c r="F15" s="76" t="s">
        <v>167</v>
      </c>
      <c r="G15" s="76" t="s">
        <v>168</v>
      </c>
      <c r="H15" s="76"/>
      <c r="I15" s="76"/>
      <c r="S15" s="88">
        <f ca="1">+YEAR(EDATE(TODAY(),11))</f>
        <v>2020</v>
      </c>
      <c r="T15" s="75" t="str">
        <f ca="1">+TEXT(EDATE(TODAY(),10),"mmmm")</f>
        <v>diciembre</v>
      </c>
      <c r="U15" s="73">
        <v>0</v>
      </c>
      <c r="V15" s="76" t="s">
        <v>167</v>
      </c>
      <c r="W15" s="76" t="s">
        <v>168</v>
      </c>
      <c r="X15" s="88"/>
      <c r="Y15" s="88" t="s">
        <v>183</v>
      </c>
    </row>
    <row r="16" spans="2:25" ht="22.5" customHeight="1" thickBot="1" x14ac:dyDescent="0.3">
      <c r="B16" s="76">
        <f t="shared" ca="1" si="0"/>
        <v>2019</v>
      </c>
      <c r="C16" s="75" t="str">
        <f t="shared" ca="1" si="1"/>
        <v>febrero</v>
      </c>
      <c r="D16" s="88">
        <f t="shared" ca="1" si="2"/>
        <v>10</v>
      </c>
      <c r="E16" s="73">
        <v>240003</v>
      </c>
      <c r="F16" s="76" t="s">
        <v>167</v>
      </c>
      <c r="G16" s="76" t="s">
        <v>168</v>
      </c>
      <c r="H16" s="76"/>
      <c r="I16" s="76"/>
      <c r="S16" s="89">
        <f ca="1">+YEAR(EDATE(TODAY(),12))</f>
        <v>2020</v>
      </c>
      <c r="T16" s="75" t="str">
        <f ca="1">+TEXT(EDATE(TODAY(),11),"mmmm")</f>
        <v>enero</v>
      </c>
      <c r="U16" s="95">
        <v>0</v>
      </c>
      <c r="V16" s="89" t="s">
        <v>167</v>
      </c>
      <c r="W16" s="89" t="s">
        <v>168</v>
      </c>
      <c r="X16" s="89"/>
      <c r="Y16" s="89" t="s">
        <v>183</v>
      </c>
    </row>
    <row r="17" spans="2:21" ht="22.5" customHeight="1" thickBot="1" x14ac:dyDescent="0.3">
      <c r="B17" s="76">
        <f t="shared" ca="1" si="0"/>
        <v>2019</v>
      </c>
      <c r="C17" s="75" t="str">
        <f t="shared" ca="1" si="1"/>
        <v>febrero</v>
      </c>
      <c r="D17" s="88">
        <f t="shared" ca="1" si="2"/>
        <v>11</v>
      </c>
      <c r="E17" s="73">
        <v>240004</v>
      </c>
      <c r="F17" s="76" t="s">
        <v>167</v>
      </c>
      <c r="G17" s="76" t="s">
        <v>168</v>
      </c>
      <c r="H17" s="76"/>
      <c r="I17" s="76"/>
      <c r="S17" s="105" t="s">
        <v>171</v>
      </c>
      <c r="T17" s="105"/>
      <c r="U17" s="74">
        <f>+SUM(U7:U16)</f>
        <v>0</v>
      </c>
    </row>
    <row r="18" spans="2:21" ht="22.5" customHeight="1" x14ac:dyDescent="0.25">
      <c r="B18" s="76">
        <f t="shared" ca="1" si="0"/>
        <v>2019</v>
      </c>
      <c r="C18" s="75" t="str">
        <f t="shared" ca="1" si="1"/>
        <v>febrero</v>
      </c>
      <c r="D18" s="88">
        <f t="shared" ca="1" si="2"/>
        <v>12</v>
      </c>
      <c r="E18" s="73">
        <v>240005</v>
      </c>
      <c r="F18" s="76" t="s">
        <v>167</v>
      </c>
      <c r="G18" s="76" t="s">
        <v>168</v>
      </c>
      <c r="H18" s="76"/>
      <c r="I18" s="76"/>
    </row>
    <row r="19" spans="2:21" ht="22.5" customHeight="1" x14ac:dyDescent="0.25">
      <c r="B19" s="76">
        <f t="shared" ca="1" si="0"/>
        <v>2019</v>
      </c>
      <c r="C19" s="75" t="str">
        <f t="shared" ca="1" si="1"/>
        <v>febrero</v>
      </c>
      <c r="D19" s="88">
        <f t="shared" ca="1" si="2"/>
        <v>13</v>
      </c>
      <c r="E19" s="73">
        <v>240006</v>
      </c>
      <c r="F19" s="76" t="s">
        <v>167</v>
      </c>
      <c r="G19" s="76" t="s">
        <v>168</v>
      </c>
      <c r="H19" s="76"/>
      <c r="I19" s="76"/>
    </row>
    <row r="20" spans="2:21" ht="22.5" customHeight="1" x14ac:dyDescent="0.25">
      <c r="B20" s="76">
        <f t="shared" ca="1" si="0"/>
        <v>2019</v>
      </c>
      <c r="C20" s="75" t="str">
        <f t="shared" ca="1" si="1"/>
        <v>febrero</v>
      </c>
      <c r="D20" s="88">
        <f t="shared" ca="1" si="2"/>
        <v>14</v>
      </c>
      <c r="E20" s="73">
        <v>240007</v>
      </c>
      <c r="F20" s="76" t="s">
        <v>167</v>
      </c>
      <c r="G20" s="76" t="s">
        <v>168</v>
      </c>
      <c r="H20" s="76"/>
      <c r="I20" s="76"/>
    </row>
    <row r="21" spans="2:21" ht="22.5" customHeight="1" x14ac:dyDescent="0.25">
      <c r="B21" s="76"/>
      <c r="C21" s="75"/>
      <c r="D21" s="88"/>
      <c r="E21" s="73"/>
      <c r="F21" s="76"/>
      <c r="G21" s="76"/>
      <c r="H21" s="76"/>
      <c r="I21" s="76"/>
    </row>
    <row r="22" spans="2:21" ht="22.5" customHeight="1" x14ac:dyDescent="0.25">
      <c r="B22" s="76"/>
      <c r="C22" s="75"/>
      <c r="D22" s="88"/>
      <c r="E22" s="73"/>
      <c r="F22" s="76"/>
      <c r="G22" s="76"/>
      <c r="H22" s="76"/>
      <c r="I22" s="76"/>
    </row>
    <row r="23" spans="2:21" ht="22.5" customHeight="1" x14ac:dyDescent="0.25">
      <c r="B23" s="76"/>
      <c r="C23" s="75"/>
      <c r="D23" s="88"/>
      <c r="E23" s="73"/>
      <c r="F23" s="76"/>
      <c r="G23" s="76"/>
      <c r="H23" s="76"/>
      <c r="I23" s="76"/>
    </row>
    <row r="24" spans="2:21" ht="22.5" customHeight="1" x14ac:dyDescent="0.25">
      <c r="B24" s="76"/>
      <c r="C24" s="75"/>
      <c r="D24" s="88"/>
      <c r="E24" s="73"/>
      <c r="F24" s="76"/>
      <c r="G24" s="76"/>
      <c r="H24" s="76"/>
      <c r="I24" s="76"/>
    </row>
    <row r="25" spans="2:21" ht="22.5" customHeight="1" x14ac:dyDescent="0.25">
      <c r="B25" s="76"/>
      <c r="C25" s="75"/>
      <c r="D25" s="88"/>
      <c r="E25" s="73"/>
      <c r="F25" s="76"/>
      <c r="G25" s="76"/>
      <c r="H25" s="76"/>
      <c r="I25" s="76"/>
    </row>
    <row r="26" spans="2:21" ht="22.5" customHeight="1" x14ac:dyDescent="0.25">
      <c r="B26" s="76"/>
      <c r="C26" s="75"/>
      <c r="D26" s="88"/>
      <c r="E26" s="73"/>
      <c r="F26" s="76"/>
      <c r="G26" s="76"/>
      <c r="H26" s="76"/>
      <c r="I26" s="76"/>
    </row>
    <row r="27" spans="2:21" ht="22.5" customHeight="1" x14ac:dyDescent="0.25">
      <c r="B27" s="76"/>
      <c r="C27" s="75"/>
      <c r="D27" s="88"/>
      <c r="E27" s="73"/>
      <c r="F27" s="76"/>
      <c r="G27" s="76"/>
      <c r="H27" s="76"/>
      <c r="I27" s="76"/>
    </row>
    <row r="28" spans="2:21" ht="22.5" customHeight="1" x14ac:dyDescent="0.25">
      <c r="B28" s="76"/>
      <c r="C28" s="75"/>
      <c r="D28" s="88"/>
      <c r="E28" s="73"/>
      <c r="F28" s="76"/>
      <c r="G28" s="76"/>
      <c r="H28" s="76"/>
      <c r="I28" s="76"/>
    </row>
    <row r="29" spans="2:21" ht="22.5" customHeight="1" x14ac:dyDescent="0.25">
      <c r="B29" s="76"/>
      <c r="C29" s="75"/>
      <c r="D29" s="88"/>
      <c r="E29" s="73"/>
      <c r="F29" s="76"/>
      <c r="G29" s="76"/>
      <c r="H29" s="76"/>
      <c r="I29" s="76"/>
    </row>
    <row r="30" spans="2:21" ht="22.5" customHeight="1" x14ac:dyDescent="0.25">
      <c r="B30" s="76"/>
      <c r="C30" s="75"/>
      <c r="D30" s="88"/>
      <c r="E30" s="73"/>
      <c r="F30" s="76"/>
      <c r="G30" s="76"/>
      <c r="H30" s="76"/>
      <c r="I30" s="76"/>
    </row>
    <row r="31" spans="2:21" ht="22.5" customHeight="1" x14ac:dyDescent="0.25">
      <c r="B31" s="76"/>
      <c r="C31" s="75"/>
      <c r="D31" s="88"/>
      <c r="E31" s="73"/>
      <c r="F31" s="76"/>
      <c r="G31" s="76"/>
      <c r="H31" s="76"/>
      <c r="I31" s="76"/>
    </row>
    <row r="32" spans="2:21" ht="22.5" customHeight="1" x14ac:dyDescent="0.25">
      <c r="B32" s="76"/>
      <c r="C32" s="75"/>
      <c r="D32" s="88"/>
      <c r="E32" s="73"/>
      <c r="F32" s="76"/>
      <c r="G32" s="76"/>
      <c r="H32" s="76"/>
      <c r="I32" s="76"/>
    </row>
    <row r="33" spans="2:24" ht="22.5" customHeight="1" x14ac:dyDescent="0.25">
      <c r="B33" s="76"/>
      <c r="C33" s="75"/>
      <c r="D33" s="88"/>
      <c r="E33" s="73"/>
      <c r="F33" s="76"/>
      <c r="G33" s="76"/>
      <c r="H33" s="76"/>
      <c r="I33" s="76"/>
    </row>
    <row r="34" spans="2:24" ht="22.5" customHeight="1" x14ac:dyDescent="0.25">
      <c r="B34" s="76"/>
      <c r="C34" s="75"/>
      <c r="D34" s="88"/>
      <c r="E34" s="73"/>
      <c r="F34" s="76"/>
      <c r="G34" s="76"/>
      <c r="H34" s="76"/>
      <c r="I34" s="76"/>
    </row>
    <row r="35" spans="2:24" ht="22.5" customHeight="1" x14ac:dyDescent="0.25">
      <c r="B35" s="76"/>
      <c r="C35" s="75"/>
      <c r="D35" s="88"/>
      <c r="E35" s="73"/>
      <c r="F35" s="76"/>
      <c r="G35" s="76"/>
      <c r="H35" s="76"/>
      <c r="I35" s="76"/>
    </row>
    <row r="36" spans="2:24" ht="22.5" customHeight="1" x14ac:dyDescent="0.25">
      <c r="B36" s="76"/>
      <c r="C36" s="75"/>
      <c r="D36" s="88"/>
      <c r="E36" s="73"/>
      <c r="F36" s="76"/>
      <c r="G36" s="76"/>
      <c r="H36" s="76"/>
      <c r="I36" s="76"/>
    </row>
    <row r="37" spans="2:24" ht="22.5" customHeight="1" thickBot="1" x14ac:dyDescent="0.3">
      <c r="B37" s="76"/>
      <c r="C37" s="75"/>
      <c r="D37" s="88"/>
      <c r="E37" s="73"/>
      <c r="F37" s="76"/>
      <c r="G37" s="76"/>
      <c r="H37" s="96"/>
      <c r="I37" s="96"/>
    </row>
    <row r="38" spans="2:24" ht="22.5" customHeight="1" thickBot="1" x14ac:dyDescent="0.3">
      <c r="B38" s="122" t="s">
        <v>170</v>
      </c>
      <c r="C38" s="122"/>
      <c r="D38" s="122"/>
      <c r="E38" s="74">
        <f>+SUM(E7:E37)</f>
        <v>3360028</v>
      </c>
    </row>
    <row r="39" spans="2:24" ht="22.5" customHeight="1" x14ac:dyDescent="0.25">
      <c r="B39" s="79"/>
      <c r="C39" s="79"/>
      <c r="D39" s="79"/>
    </row>
    <row r="40" spans="2:24" s="68" customFormat="1" x14ac:dyDescent="0.25"/>
    <row r="41" spans="2:24" s="68" customFormat="1" x14ac:dyDescent="0.25"/>
    <row r="42" spans="2:24" s="68" customFormat="1" ht="30" customHeight="1" x14ac:dyDescent="0.25">
      <c r="B42" s="108" t="s">
        <v>172</v>
      </c>
      <c r="C42" s="108"/>
      <c r="D42" s="108"/>
      <c r="E42" s="108"/>
      <c r="F42" s="108"/>
      <c r="G42" s="108"/>
      <c r="H42" s="108"/>
      <c r="I42" s="108"/>
      <c r="J42" s="108"/>
      <c r="K42" s="109"/>
      <c r="L42" s="109"/>
      <c r="M42" s="109"/>
      <c r="N42" s="109"/>
      <c r="O42" s="109"/>
      <c r="P42" s="109"/>
      <c r="Q42" s="109"/>
    </row>
    <row r="43" spans="2:24" s="68" customFormat="1" ht="33" customHeight="1" thickBot="1" x14ac:dyDescent="0.3">
      <c r="B43" s="110" t="s">
        <v>173</v>
      </c>
      <c r="C43" s="110"/>
      <c r="D43" s="71"/>
      <c r="E43" s="71" t="s">
        <v>174</v>
      </c>
      <c r="F43" s="71"/>
      <c r="G43" s="110" t="s">
        <v>174</v>
      </c>
      <c r="H43" s="110"/>
      <c r="I43" s="110"/>
      <c r="J43" s="110"/>
      <c r="K43" s="111" t="s">
        <v>175</v>
      </c>
      <c r="L43" s="111"/>
      <c r="M43" s="111"/>
      <c r="N43" s="111"/>
      <c r="O43" s="111"/>
      <c r="P43" s="111"/>
      <c r="Q43" s="111"/>
      <c r="R43" s="110" t="s">
        <v>176</v>
      </c>
      <c r="S43" s="110"/>
      <c r="T43" s="110"/>
      <c r="U43" s="110"/>
      <c r="V43" s="110"/>
      <c r="W43" s="110"/>
      <c r="X43" s="110"/>
    </row>
    <row r="44" spans="2:24" s="68" customFormat="1" x14ac:dyDescent="0.25">
      <c r="B44" s="112"/>
      <c r="C44" s="112"/>
      <c r="D44" s="90"/>
      <c r="E44" s="82"/>
      <c r="F44" s="91"/>
      <c r="G44" s="113"/>
      <c r="H44" s="113"/>
      <c r="I44" s="113"/>
      <c r="J44" s="113"/>
      <c r="K44" s="80"/>
      <c r="L44" s="80"/>
      <c r="M44" s="80"/>
      <c r="N44" s="80"/>
      <c r="O44" s="80"/>
      <c r="P44" s="80"/>
      <c r="Q44" s="80"/>
      <c r="R44" s="114"/>
      <c r="S44" s="114"/>
      <c r="T44" s="114"/>
      <c r="U44" s="114"/>
      <c r="V44" s="114"/>
      <c r="W44" s="114"/>
      <c r="X44" s="114"/>
    </row>
    <row r="45" spans="2:24" s="68" customFormat="1" x14ac:dyDescent="0.25">
      <c r="B45" s="115"/>
      <c r="C45" s="115"/>
      <c r="D45" s="76"/>
      <c r="E45" s="82"/>
      <c r="F45" s="82"/>
      <c r="G45" s="116"/>
      <c r="H45" s="116"/>
      <c r="I45" s="116"/>
      <c r="J45" s="116"/>
      <c r="K45" s="80"/>
      <c r="L45" s="80"/>
      <c r="M45" s="80"/>
      <c r="N45" s="80"/>
      <c r="O45" s="80"/>
      <c r="P45" s="80"/>
      <c r="Q45" s="80"/>
      <c r="R45" s="117"/>
      <c r="S45" s="117"/>
      <c r="T45" s="117"/>
      <c r="U45" s="117"/>
      <c r="V45" s="117"/>
      <c r="W45" s="117"/>
      <c r="X45" s="117"/>
    </row>
    <row r="46" spans="2:24" s="68" customFormat="1" x14ac:dyDescent="0.25">
      <c r="B46" s="115"/>
      <c r="C46" s="115"/>
      <c r="D46" s="76"/>
      <c r="E46" s="82"/>
      <c r="F46" s="82"/>
      <c r="G46" s="116"/>
      <c r="H46" s="116"/>
      <c r="I46" s="116"/>
      <c r="J46" s="116"/>
      <c r="K46" s="80"/>
      <c r="L46" s="80"/>
      <c r="M46" s="80"/>
      <c r="N46" s="80"/>
      <c r="O46" s="80"/>
      <c r="P46" s="80"/>
      <c r="Q46" s="80"/>
      <c r="R46" s="117"/>
      <c r="S46" s="117"/>
      <c r="T46" s="117"/>
      <c r="U46" s="117"/>
      <c r="V46" s="117"/>
      <c r="W46" s="117"/>
      <c r="X46" s="117"/>
    </row>
    <row r="47" spans="2:24" s="68" customFormat="1" x14ac:dyDescent="0.25">
      <c r="B47" s="115"/>
      <c r="C47" s="115"/>
      <c r="D47" s="76"/>
      <c r="E47" s="82"/>
      <c r="F47" s="82"/>
      <c r="G47" s="116"/>
      <c r="H47" s="116"/>
      <c r="I47" s="116"/>
      <c r="J47" s="116"/>
      <c r="K47" s="80"/>
      <c r="L47" s="80"/>
      <c r="M47" s="80"/>
      <c r="N47" s="80"/>
      <c r="O47" s="80"/>
      <c r="P47" s="80"/>
      <c r="Q47" s="80"/>
      <c r="R47" s="117"/>
      <c r="S47" s="117"/>
      <c r="T47" s="117"/>
      <c r="U47" s="117"/>
      <c r="V47" s="117"/>
      <c r="W47" s="117"/>
      <c r="X47" s="117"/>
    </row>
    <row r="48" spans="2:24" s="68" customFormat="1" x14ac:dyDescent="0.25">
      <c r="B48" s="115"/>
      <c r="C48" s="115"/>
      <c r="D48" s="76"/>
      <c r="E48" s="82"/>
      <c r="F48" s="82"/>
      <c r="G48" s="116"/>
      <c r="H48" s="116"/>
      <c r="I48" s="116"/>
      <c r="J48" s="116"/>
      <c r="K48" s="80"/>
      <c r="L48" s="80"/>
      <c r="M48" s="80"/>
      <c r="N48" s="80"/>
      <c r="O48" s="80"/>
      <c r="P48" s="80"/>
      <c r="Q48" s="80"/>
      <c r="R48" s="117"/>
      <c r="S48" s="117"/>
      <c r="T48" s="117"/>
      <c r="U48" s="117"/>
      <c r="V48" s="117"/>
      <c r="W48" s="117"/>
      <c r="X48" s="117"/>
    </row>
    <row r="49" spans="2:24" s="68" customFormat="1" ht="17.25" thickBot="1" x14ac:dyDescent="0.3">
      <c r="B49" s="118"/>
      <c r="C49" s="118"/>
      <c r="D49" s="77"/>
      <c r="E49" s="83"/>
      <c r="F49" s="83"/>
      <c r="G49" s="119"/>
      <c r="H49" s="119"/>
      <c r="I49" s="119"/>
      <c r="J49" s="119"/>
      <c r="K49" s="81"/>
      <c r="L49" s="81"/>
      <c r="M49" s="81"/>
      <c r="N49" s="81"/>
      <c r="O49" s="81"/>
      <c r="P49" s="81"/>
      <c r="Q49" s="81"/>
      <c r="R49" s="118"/>
      <c r="S49" s="118"/>
      <c r="T49" s="118"/>
      <c r="U49" s="118"/>
      <c r="V49" s="118"/>
      <c r="W49" s="118"/>
      <c r="X49" s="118"/>
    </row>
    <row r="50" spans="2:24" s="68" customFormat="1" x14ac:dyDescent="0.25"/>
    <row r="51" spans="2:24" s="68" customFormat="1" x14ac:dyDescent="0.25"/>
    <row r="52" spans="2:24" x14ac:dyDescent="0.25"/>
    <row r="53" spans="2:24" ht="18.75" x14ac:dyDescent="0.25">
      <c r="B53" s="120" t="s">
        <v>177</v>
      </c>
      <c r="C53" s="120"/>
      <c r="D53" s="120"/>
      <c r="E53" s="120"/>
      <c r="F53" s="120"/>
      <c r="G53" s="120"/>
      <c r="H53" s="78"/>
      <c r="I53" s="78"/>
    </row>
    <row r="54" spans="2:24" x14ac:dyDescent="0.2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2:24" x14ac:dyDescent="0.2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2:24" x14ac:dyDescent="0.2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2:24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2:24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2:24" x14ac:dyDescent="0.2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2:24" x14ac:dyDescent="0.2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2:24" x14ac:dyDescent="0.2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2:24" x14ac:dyDescent="0.2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2:24" x14ac:dyDescent="0.25"/>
  </sheetData>
  <autoFilter ref="A6:Z29" xr:uid="{62BAD202-358C-4260-997D-C98D45C401C8}"/>
  <mergeCells count="34">
    <mergeCell ref="B53:G53"/>
    <mergeCell ref="B54:X62"/>
    <mergeCell ref="B48:C48"/>
    <mergeCell ref="G48:J48"/>
    <mergeCell ref="R48:X48"/>
    <mergeCell ref="B49:C49"/>
    <mergeCell ref="G49:J49"/>
    <mergeCell ref="R49:X49"/>
    <mergeCell ref="B46:C46"/>
    <mergeCell ref="G46:J46"/>
    <mergeCell ref="R46:X46"/>
    <mergeCell ref="B47:C47"/>
    <mergeCell ref="G47:J47"/>
    <mergeCell ref="R47:X47"/>
    <mergeCell ref="B44:C44"/>
    <mergeCell ref="G44:J44"/>
    <mergeCell ref="R44:X44"/>
    <mergeCell ref="B45:C45"/>
    <mergeCell ref="G45:J45"/>
    <mergeCell ref="R45:X45"/>
    <mergeCell ref="S17:T17"/>
    <mergeCell ref="B38:D38"/>
    <mergeCell ref="B42:J42"/>
    <mergeCell ref="K42:Q42"/>
    <mergeCell ref="B43:C43"/>
    <mergeCell ref="G43:J43"/>
    <mergeCell ref="K43:Q43"/>
    <mergeCell ref="R43:X43"/>
    <mergeCell ref="C2:G2"/>
    <mergeCell ref="E3:F3"/>
    <mergeCell ref="B4:E4"/>
    <mergeCell ref="K4:N4"/>
    <mergeCell ref="S4:Y4"/>
    <mergeCell ref="K11:L11"/>
  </mergeCells>
  <dataValidations count="4">
    <dataValidation type="list" allowBlank="1" showInputMessage="1" showErrorMessage="1" sqref="V7:V16 N7:N10 F7:F37" xr:uid="{82D61870-38F1-45A2-A2BA-6EF5925EA2E7}">
      <formula1>MODALIDAD</formula1>
    </dataValidation>
    <dataValidation type="list" allowBlank="1" showInputMessage="1" showErrorMessage="1" sqref="W12:W16 O7:O10 W11:X11 W7:W10 G7:G37" xr:uid="{AFCBC73F-80C3-45BF-80BC-56B583202DF4}">
      <formula1>TIPO_SUMINISTRO</formula1>
    </dataValidation>
    <dataValidation type="list" allowBlank="1" showInputMessage="1" showErrorMessage="1" sqref="G3" xr:uid="{771477E7-2EF2-4BDE-A6C5-FE529879BE4B}">
      <formula1>GASODUCTO</formula1>
    </dataValidation>
    <dataValidation type="list" allowBlank="1" showInputMessage="1" showErrorMessage="1" sqref="K44:Q49" xr:uid="{E1190EDE-9ECA-4ED2-8885-D37967AF3E7B}">
      <formula1>CENTRALES_GNL</formula1>
    </dataValidation>
  </dataValidations>
  <pageMargins left="0.7" right="0.7" top="0.75" bottom="0.75" header="0.3" footer="0.3"/>
  <pageSetup scale="1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9E1157-7E33-44D1-BB37-39EE1FA274C8}">
          <x14:formula1>
            <xm:f>'S:\Departamento de Análisis Económico\3.1 Stock y Disponibilidad de Combustibles\01 Información de disponibilidad de recursos primarios\2019\02 Febrero\SGA\[Formato_Informacion_Recurso_primario_06-02-19.xlsx]Aux'!#REF!</xm:f>
          </x14:formula1>
          <xm:sqref>C2:G2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0270-A5F7-4115-95E6-85AB8296782D}">
  <dimension ref="A1:Z63"/>
  <sheetViews>
    <sheetView showGridLines="0" zoomScale="80" zoomScaleNormal="80" workbookViewId="0">
      <selection activeCell="I7" sqref="I7"/>
    </sheetView>
  </sheetViews>
  <sheetFormatPr baseColWidth="10" defaultColWidth="0" defaultRowHeight="16.5" zeroHeight="1" x14ac:dyDescent="0.25"/>
  <cols>
    <col min="1" max="1" width="3" style="70" customWidth="1"/>
    <col min="2" max="2" width="16.42578125" style="70" customWidth="1"/>
    <col min="3" max="4" width="13.7109375" style="70" customWidth="1"/>
    <col min="5" max="5" width="15.7109375" style="70" bestFit="1" customWidth="1"/>
    <col min="6" max="6" width="21.5703125" style="70" bestFit="1" customWidth="1"/>
    <col min="7" max="7" width="22.28515625" style="70" bestFit="1" customWidth="1"/>
    <col min="8" max="8" width="27.7109375" style="70" customWidth="1"/>
    <col min="9" max="9" width="70.7109375" style="70" customWidth="1"/>
    <col min="10" max="10" width="4.28515625" style="70" customWidth="1"/>
    <col min="11" max="11" width="30.28515625" style="70" customWidth="1"/>
    <col min="12" max="13" width="18.7109375" style="70" customWidth="1"/>
    <col min="14" max="14" width="20.5703125" style="70" bestFit="1" customWidth="1"/>
    <col min="15" max="16" width="18.7109375" style="70" customWidth="1"/>
    <col min="17" max="17" width="70.7109375" style="70" customWidth="1"/>
    <col min="18" max="18" width="2.7109375" style="70" customWidth="1"/>
    <col min="19" max="24" width="18.7109375" style="70" customWidth="1"/>
    <col min="25" max="25" width="70.7109375" style="70" customWidth="1"/>
    <col min="26" max="26" width="11.42578125" style="70" customWidth="1"/>
    <col min="27" max="16384" width="11.42578125" style="70" hidden="1"/>
  </cols>
  <sheetData>
    <row r="1" spans="2:25" ht="17.25" thickBot="1" x14ac:dyDescent="0.3"/>
    <row r="2" spans="2:25" ht="60.75" customHeight="1" thickBot="1" x14ac:dyDescent="0.3">
      <c r="B2" s="69" t="s">
        <v>155</v>
      </c>
      <c r="C2" s="66" t="s">
        <v>15</v>
      </c>
      <c r="D2" s="65"/>
      <c r="E2" s="65"/>
      <c r="F2" s="65"/>
      <c r="G2" s="103"/>
      <c r="K2" s="86"/>
    </row>
    <row r="3" spans="2:25" ht="60.75" customHeight="1" thickBot="1" x14ac:dyDescent="0.3">
      <c r="B3" s="69"/>
      <c r="C3" s="69"/>
      <c r="D3" s="69"/>
      <c r="E3" s="107" t="s">
        <v>156</v>
      </c>
      <c r="F3" s="107"/>
      <c r="G3" s="84" t="s">
        <v>184</v>
      </c>
      <c r="H3" s="94"/>
      <c r="K3" s="86"/>
    </row>
    <row r="4" spans="2:25" ht="21" customHeight="1" x14ac:dyDescent="0.25">
      <c r="B4" s="104" t="str">
        <f ca="1">+CONCATENATE("DISPONIBILIDAD DIARIA ",UPPER(TEXT(EDATE(TODAY(),1),"mmmm"))," ",YEAR(TODAY())," [Mm3]")</f>
        <v>DISPONIBILIDAD DIARIA MARZO 2019 [Mm3]</v>
      </c>
      <c r="C4" s="104"/>
      <c r="D4" s="104"/>
      <c r="E4" s="104"/>
      <c r="F4" s="87"/>
      <c r="G4" s="87"/>
      <c r="H4" s="87"/>
      <c r="I4" s="87"/>
      <c r="K4" s="104" t="str">
        <f ca="1">+CONCATENATE("DISPONIBILIDAD SEMANAL",UPPER(TEXT(EDATE(TODAY(),2),"mmmm"))," ",YEAR(TODAY())," [Mm3]")</f>
        <v>DISPONIBILIDAD SEMANALABRIL 2019 [Mm3]</v>
      </c>
      <c r="L4" s="104"/>
      <c r="M4" s="104"/>
      <c r="N4" s="104"/>
      <c r="O4" s="67"/>
      <c r="P4" s="67"/>
      <c r="Q4" s="67"/>
      <c r="S4" s="104" t="str">
        <f ca="1">+CONCATENATE("DISPONIBILIDAD MENSUAL ",UPPER(TEXT(EDATE(TODAY(),3),"mmmm"))," ",YEAR(EDATE(TODAY(),3)),," A ",UPPER(TEXT(EDATE(TODAY(),12),"mmmm"))," ",YEAR(EDATE(TODAY(),12))," [Mm3]")</f>
        <v>DISPONIBILIDAD MENSUAL MAYO 2019 A FEBRERO 2020 [Mm3]</v>
      </c>
      <c r="T4" s="104"/>
      <c r="U4" s="104"/>
      <c r="V4" s="104"/>
      <c r="W4" s="104"/>
      <c r="X4" s="104"/>
      <c r="Y4" s="104"/>
    </row>
    <row r="5" spans="2:25" ht="21" customHeight="1" x14ac:dyDescent="0.25">
      <c r="B5" s="85"/>
      <c r="C5" s="85"/>
      <c r="D5" s="85"/>
      <c r="E5" s="85"/>
      <c r="F5" s="85"/>
      <c r="G5" s="87"/>
      <c r="H5" s="87"/>
      <c r="I5" s="87"/>
      <c r="K5" s="87"/>
      <c r="L5" s="85"/>
      <c r="M5" s="85"/>
      <c r="N5" s="85"/>
      <c r="O5" s="67"/>
      <c r="P5" s="67"/>
      <c r="Q5" s="67"/>
      <c r="S5" s="85"/>
      <c r="T5" s="85"/>
      <c r="U5" s="85"/>
      <c r="V5" s="85"/>
      <c r="W5" s="85"/>
      <c r="X5" s="85"/>
      <c r="Y5" s="85"/>
    </row>
    <row r="6" spans="2:25" s="68" customFormat="1" ht="70.5" customHeight="1" thickBot="1" x14ac:dyDescent="0.3">
      <c r="B6" s="71" t="s">
        <v>53</v>
      </c>
      <c r="C6" s="71" t="s">
        <v>54</v>
      </c>
      <c r="D6" s="71" t="s">
        <v>158</v>
      </c>
      <c r="E6" s="71" t="s">
        <v>159</v>
      </c>
      <c r="F6" s="71" t="s">
        <v>160</v>
      </c>
      <c r="G6" s="71" t="s">
        <v>161</v>
      </c>
      <c r="H6" s="71" t="s">
        <v>162</v>
      </c>
      <c r="I6" s="71" t="s">
        <v>163</v>
      </c>
      <c r="K6" s="92" t="s">
        <v>164</v>
      </c>
      <c r="L6" s="71" t="s">
        <v>165</v>
      </c>
      <c r="M6" s="71" t="s">
        <v>166</v>
      </c>
      <c r="N6" s="71" t="s">
        <v>160</v>
      </c>
      <c r="O6" s="71" t="s">
        <v>161</v>
      </c>
      <c r="P6" s="71" t="s">
        <v>162</v>
      </c>
      <c r="Q6" s="71" t="s">
        <v>163</v>
      </c>
      <c r="S6" s="71" t="s">
        <v>53</v>
      </c>
      <c r="T6" s="71" t="s">
        <v>54</v>
      </c>
      <c r="U6" s="71" t="s">
        <v>166</v>
      </c>
      <c r="V6" s="71" t="s">
        <v>160</v>
      </c>
      <c r="W6" s="71" t="s">
        <v>161</v>
      </c>
      <c r="X6" s="71" t="s">
        <v>162</v>
      </c>
      <c r="Y6" s="71" t="s">
        <v>163</v>
      </c>
    </row>
    <row r="7" spans="2:25" ht="22.5" customHeight="1" x14ac:dyDescent="0.25">
      <c r="B7" s="88">
        <f ca="1">+IF(D7&lt;&gt;"",YEAR(TODAY()),"")</f>
        <v>2019</v>
      </c>
      <c r="C7" s="75" t="str">
        <f ca="1">+IF(D7&lt;&gt;"",TEXT(EDATE(TODAY(),1),"mmmm"),"")</f>
        <v>marzo</v>
      </c>
      <c r="D7" s="88">
        <v>1</v>
      </c>
      <c r="E7" s="73">
        <v>1000000</v>
      </c>
      <c r="F7" s="76" t="s">
        <v>167</v>
      </c>
      <c r="G7" s="76" t="s">
        <v>168</v>
      </c>
      <c r="H7" s="76"/>
      <c r="I7" s="76" t="s">
        <v>185</v>
      </c>
      <c r="K7" s="75">
        <f ca="1">+DATE(YEAR(EDATE(TODAY(),2)),MONTH(EDATE(TODAY(),2)),1)</f>
        <v>43556</v>
      </c>
      <c r="L7" s="75">
        <f ca="1">+K7+6</f>
        <v>43562</v>
      </c>
      <c r="M7" s="73">
        <v>7000000</v>
      </c>
      <c r="N7" s="76" t="s">
        <v>167</v>
      </c>
      <c r="O7" s="76" t="s">
        <v>168</v>
      </c>
      <c r="P7" s="88"/>
      <c r="Q7" s="88"/>
      <c r="S7" s="88">
        <f ca="1">+YEAR(EDATE(TODAY(),3))</f>
        <v>2019</v>
      </c>
      <c r="T7" s="75" t="str">
        <f ca="1">+TEXT(EDATE(TODAY(),3),"mmmm")</f>
        <v>mayo</v>
      </c>
      <c r="U7" s="73"/>
      <c r="V7" s="76"/>
      <c r="W7" s="76"/>
      <c r="X7" s="88"/>
      <c r="Y7" s="88"/>
    </row>
    <row r="8" spans="2:25" ht="22.5" customHeight="1" x14ac:dyDescent="0.25">
      <c r="B8" s="76">
        <f t="shared" ref="B8:B37" ca="1" si="0">+IF(D8&lt;&gt;"",YEAR(TODAY()),"")</f>
        <v>2019</v>
      </c>
      <c r="C8" s="75" t="str">
        <f t="shared" ref="C8:C37" ca="1" si="1">+IF(D8&lt;&gt;"",TEXT(EDATE(TODAY(),1),"mmmm"),"")</f>
        <v>marzo</v>
      </c>
      <c r="D8" s="88">
        <f ca="1">+IF(D7+1&lt;=DAY(EOMONTH(TODAY(),1)),D7+1,"")</f>
        <v>2</v>
      </c>
      <c r="E8" s="73">
        <v>1000000</v>
      </c>
      <c r="F8" s="76" t="s">
        <v>167</v>
      </c>
      <c r="G8" s="76" t="s">
        <v>168</v>
      </c>
      <c r="H8" s="76"/>
      <c r="I8" s="76"/>
      <c r="K8" s="75">
        <f ca="1">+$L$7+1</f>
        <v>43563</v>
      </c>
      <c r="L8" s="75">
        <f ca="1">+IF(DAY(EOMONTH(TODAY(),2))=28,K8+6,K8+7)</f>
        <v>43570</v>
      </c>
      <c r="M8" s="73">
        <v>8000000</v>
      </c>
      <c r="N8" s="76" t="s">
        <v>167</v>
      </c>
      <c r="O8" s="76" t="s">
        <v>168</v>
      </c>
      <c r="P8" s="88"/>
      <c r="Q8" s="88"/>
      <c r="S8" s="88">
        <f ca="1">+YEAR(EDATE(TODAY(),4))</f>
        <v>2019</v>
      </c>
      <c r="T8" s="75" t="str">
        <f ca="1">+TEXT(EDATE(TODAY(),4),"mmmm")</f>
        <v>junio</v>
      </c>
      <c r="U8" s="73"/>
      <c r="V8" s="76"/>
      <c r="W8" s="76"/>
      <c r="X8" s="88"/>
      <c r="Y8" s="88"/>
    </row>
    <row r="9" spans="2:25" ht="22.5" customHeight="1" x14ac:dyDescent="0.25">
      <c r="B9" s="76">
        <f t="shared" ca="1" si="0"/>
        <v>2019</v>
      </c>
      <c r="C9" s="75" t="str">
        <f t="shared" ca="1" si="1"/>
        <v>marzo</v>
      </c>
      <c r="D9" s="88">
        <f t="shared" ref="D9:D37" ca="1" si="2">+IF(D8+1&lt;=DAY(EOMONTH(TODAY(),1)),D8+1,"")</f>
        <v>3</v>
      </c>
      <c r="E9" s="73">
        <v>1000000</v>
      </c>
      <c r="F9" s="76" t="s">
        <v>167</v>
      </c>
      <c r="G9" s="76" t="s">
        <v>168</v>
      </c>
      <c r="H9" s="76"/>
      <c r="I9" s="76"/>
      <c r="K9" s="75">
        <f ca="1">+$L$8+1</f>
        <v>43571</v>
      </c>
      <c r="L9" s="75">
        <f ca="1">+IF(DAY(EOMONTH(TODAY(),2))=31,K9+7,K9+6)</f>
        <v>43577</v>
      </c>
      <c r="M9" s="73">
        <v>8000000</v>
      </c>
      <c r="N9" s="76" t="s">
        <v>167</v>
      </c>
      <c r="O9" s="76" t="s">
        <v>168</v>
      </c>
      <c r="P9" s="88"/>
      <c r="Q9" s="88"/>
      <c r="S9" s="88">
        <f ca="1">+YEAR(EDATE(TODAY(),5))</f>
        <v>2019</v>
      </c>
      <c r="T9" s="75" t="str">
        <f ca="1">+TEXT(EDATE(TODAY(),5),"mmmm")</f>
        <v>julio</v>
      </c>
      <c r="U9" s="73"/>
      <c r="V9" s="76"/>
      <c r="W9" s="76"/>
      <c r="X9" s="88"/>
      <c r="Y9" s="88"/>
    </row>
    <row r="10" spans="2:25" ht="22.5" customHeight="1" thickBot="1" x14ac:dyDescent="0.3">
      <c r="B10" s="76">
        <f t="shared" ca="1" si="0"/>
        <v>2019</v>
      </c>
      <c r="C10" s="75" t="str">
        <f t="shared" ca="1" si="1"/>
        <v>marzo</v>
      </c>
      <c r="D10" s="88">
        <f t="shared" ca="1" si="2"/>
        <v>4</v>
      </c>
      <c r="E10" s="73">
        <v>1000000</v>
      </c>
      <c r="F10" s="76" t="s">
        <v>167</v>
      </c>
      <c r="G10" s="76" t="s">
        <v>168</v>
      </c>
      <c r="H10" s="76"/>
      <c r="I10" s="76"/>
      <c r="K10" s="72">
        <f ca="1">+$L$9+1</f>
        <v>43578</v>
      </c>
      <c r="L10" s="72">
        <f ca="1">+IF(DAY(EOMONTH(TODAY(),2))=28,K10+6,IF(DAY(EOMONTH(TODAY(),2))=29,K10+6,K10+7))</f>
        <v>43585</v>
      </c>
      <c r="M10" s="126">
        <v>8000000</v>
      </c>
      <c r="N10" s="89" t="s">
        <v>167</v>
      </c>
      <c r="O10" s="89" t="s">
        <v>168</v>
      </c>
      <c r="P10" s="89"/>
      <c r="Q10" s="89"/>
      <c r="S10" s="88">
        <f ca="1">+YEAR(EDATE(TODAY(),6))</f>
        <v>2019</v>
      </c>
      <c r="T10" s="75" t="str">
        <f ca="1">+TEXT(EDATE(TODAY(),6),"mmmm")</f>
        <v>agosto</v>
      </c>
      <c r="U10" s="73"/>
      <c r="V10" s="76"/>
      <c r="W10" s="76"/>
      <c r="X10" s="88"/>
      <c r="Y10" s="88"/>
    </row>
    <row r="11" spans="2:25" ht="22.5" customHeight="1" thickBot="1" x14ac:dyDescent="0.3">
      <c r="B11" s="76">
        <f t="shared" ca="1" si="0"/>
        <v>2019</v>
      </c>
      <c r="C11" s="75" t="str">
        <f t="shared" ca="1" si="1"/>
        <v>marzo</v>
      </c>
      <c r="D11" s="88">
        <f t="shared" ca="1" si="2"/>
        <v>5</v>
      </c>
      <c r="E11" s="73">
        <v>1000000</v>
      </c>
      <c r="F11" s="76" t="s">
        <v>167</v>
      </c>
      <c r="G11" s="76" t="s">
        <v>168</v>
      </c>
      <c r="H11" s="76"/>
      <c r="I11" s="76"/>
      <c r="K11" s="105" t="s">
        <v>170</v>
      </c>
      <c r="L11" s="105"/>
      <c r="M11" s="74">
        <f>+SUM(M7:M10)</f>
        <v>31000000</v>
      </c>
      <c r="S11" s="88">
        <f ca="1">+YEAR(EDATE(TODAY(),7))</f>
        <v>2019</v>
      </c>
      <c r="T11" s="75" t="str">
        <f ca="1">+TEXT(EDATE(TODAY(),7),"mmmm")</f>
        <v>septiembre</v>
      </c>
      <c r="U11" s="73"/>
      <c r="V11" s="76"/>
      <c r="W11" s="76"/>
      <c r="X11" s="88"/>
      <c r="Y11" s="88"/>
    </row>
    <row r="12" spans="2:25" ht="22.5" customHeight="1" x14ac:dyDescent="0.25">
      <c r="B12" s="76">
        <f t="shared" ca="1" si="0"/>
        <v>2019</v>
      </c>
      <c r="C12" s="75" t="str">
        <f t="shared" ca="1" si="1"/>
        <v>marzo</v>
      </c>
      <c r="D12" s="88">
        <f t="shared" ca="1" si="2"/>
        <v>6</v>
      </c>
      <c r="E12" s="73">
        <v>1000000</v>
      </c>
      <c r="F12" s="76" t="s">
        <v>167</v>
      </c>
      <c r="G12" s="76" t="s">
        <v>168</v>
      </c>
      <c r="H12" s="76"/>
      <c r="I12" s="76"/>
      <c r="K12" s="93"/>
      <c r="S12" s="88">
        <f ca="1">+YEAR(EDATE(TODAY(),8))</f>
        <v>2019</v>
      </c>
      <c r="T12" s="75" t="str">
        <f ca="1">+TEXT(EDATE(TODAY(),8),"mmmm")</f>
        <v>octubre</v>
      </c>
      <c r="U12" s="73"/>
      <c r="V12" s="76"/>
      <c r="W12" s="76"/>
      <c r="X12" s="88"/>
      <c r="Y12" s="88"/>
    </row>
    <row r="13" spans="2:25" ht="22.5" customHeight="1" x14ac:dyDescent="0.25">
      <c r="B13" s="76">
        <f t="shared" ca="1" si="0"/>
        <v>2019</v>
      </c>
      <c r="C13" s="75" t="str">
        <f t="shared" ca="1" si="1"/>
        <v>marzo</v>
      </c>
      <c r="D13" s="88">
        <f t="shared" ca="1" si="2"/>
        <v>7</v>
      </c>
      <c r="E13" s="73">
        <v>1000000</v>
      </c>
      <c r="F13" s="76" t="s">
        <v>167</v>
      </c>
      <c r="G13" s="76" t="s">
        <v>168</v>
      </c>
      <c r="H13" s="76"/>
      <c r="I13" s="76"/>
      <c r="S13" s="88">
        <f ca="1">+YEAR(EDATE(TODAY(),9))</f>
        <v>2019</v>
      </c>
      <c r="T13" s="75" t="str">
        <f ca="1">+TEXT(EDATE(TODAY(),9),"mmmm")</f>
        <v>noviembre</v>
      </c>
      <c r="U13" s="73"/>
      <c r="V13" s="76"/>
      <c r="W13" s="76"/>
      <c r="X13" s="88"/>
      <c r="Y13" s="88"/>
    </row>
    <row r="14" spans="2:25" ht="22.5" customHeight="1" x14ac:dyDescent="0.25">
      <c r="B14" s="76">
        <f t="shared" ca="1" si="0"/>
        <v>2019</v>
      </c>
      <c r="C14" s="75" t="str">
        <f t="shared" ca="1" si="1"/>
        <v>marzo</v>
      </c>
      <c r="D14" s="88">
        <f t="shared" ca="1" si="2"/>
        <v>8</v>
      </c>
      <c r="E14" s="73">
        <v>1000000</v>
      </c>
      <c r="F14" s="76" t="s">
        <v>167</v>
      </c>
      <c r="G14" s="76" t="s">
        <v>168</v>
      </c>
      <c r="H14" s="76"/>
      <c r="I14" s="76"/>
      <c r="S14" s="88">
        <f ca="1">+YEAR(EDATE(TODAY(),10))</f>
        <v>2019</v>
      </c>
      <c r="T14" s="75" t="str">
        <f ca="1">+TEXT(EDATE(TODAY(),10),"mmmm")</f>
        <v>diciembre</v>
      </c>
      <c r="U14" s="73"/>
      <c r="V14" s="76"/>
      <c r="W14" s="76"/>
      <c r="X14" s="88"/>
      <c r="Y14" s="88"/>
    </row>
    <row r="15" spans="2:25" ht="22.5" customHeight="1" x14ac:dyDescent="0.25">
      <c r="B15" s="76">
        <f t="shared" ca="1" si="0"/>
        <v>2019</v>
      </c>
      <c r="C15" s="75" t="str">
        <f t="shared" ca="1" si="1"/>
        <v>marzo</v>
      </c>
      <c r="D15" s="88">
        <f t="shared" ca="1" si="2"/>
        <v>9</v>
      </c>
      <c r="E15" s="73">
        <v>1000000</v>
      </c>
      <c r="F15" s="76" t="s">
        <v>167</v>
      </c>
      <c r="G15" s="76" t="s">
        <v>168</v>
      </c>
      <c r="H15" s="76"/>
      <c r="I15" s="76"/>
      <c r="S15" s="88">
        <f ca="1">+YEAR(EDATE(TODAY(),11))</f>
        <v>2020</v>
      </c>
      <c r="T15" s="75" t="str">
        <f ca="1">+TEXT(EDATE(TODAY(),11),"mmmm")</f>
        <v>enero</v>
      </c>
      <c r="U15" s="73"/>
      <c r="V15" s="76"/>
      <c r="W15" s="76"/>
      <c r="X15" s="88"/>
      <c r="Y15" s="88"/>
    </row>
    <row r="16" spans="2:25" ht="22.5" customHeight="1" thickBot="1" x14ac:dyDescent="0.3">
      <c r="B16" s="76">
        <f t="shared" ca="1" si="0"/>
        <v>2019</v>
      </c>
      <c r="C16" s="75" t="str">
        <f t="shared" ca="1" si="1"/>
        <v>marzo</v>
      </c>
      <c r="D16" s="88">
        <f t="shared" ca="1" si="2"/>
        <v>10</v>
      </c>
      <c r="E16" s="73">
        <v>1000000</v>
      </c>
      <c r="F16" s="76" t="s">
        <v>167</v>
      </c>
      <c r="G16" s="76" t="s">
        <v>168</v>
      </c>
      <c r="H16" s="76"/>
      <c r="I16" s="76"/>
      <c r="S16" s="89">
        <f ca="1">+YEAR(EDATE(TODAY(),12))</f>
        <v>2020</v>
      </c>
      <c r="T16" s="72" t="str">
        <f ca="1">+TEXT(EDATE(TODAY(),12),"mmmm")</f>
        <v>febrero</v>
      </c>
      <c r="U16" s="95"/>
      <c r="V16" s="89"/>
      <c r="W16" s="89"/>
      <c r="X16" s="89"/>
      <c r="Y16" s="89"/>
    </row>
    <row r="17" spans="2:21" ht="22.5" customHeight="1" thickBot="1" x14ac:dyDescent="0.3">
      <c r="B17" s="76">
        <f t="shared" ca="1" si="0"/>
        <v>2019</v>
      </c>
      <c r="C17" s="75" t="str">
        <f t="shared" ca="1" si="1"/>
        <v>marzo</v>
      </c>
      <c r="D17" s="88">
        <f t="shared" ca="1" si="2"/>
        <v>11</v>
      </c>
      <c r="E17" s="73">
        <v>1000000</v>
      </c>
      <c r="F17" s="76" t="s">
        <v>167</v>
      </c>
      <c r="G17" s="76" t="s">
        <v>168</v>
      </c>
      <c r="H17" s="76"/>
      <c r="I17" s="76"/>
      <c r="S17" s="105" t="s">
        <v>171</v>
      </c>
      <c r="T17" s="105"/>
      <c r="U17" s="74">
        <f>+SUM(U7:U16)</f>
        <v>0</v>
      </c>
    </row>
    <row r="18" spans="2:21" ht="22.5" customHeight="1" x14ac:dyDescent="0.25">
      <c r="B18" s="76">
        <f t="shared" ca="1" si="0"/>
        <v>2019</v>
      </c>
      <c r="C18" s="75" t="str">
        <f t="shared" ca="1" si="1"/>
        <v>marzo</v>
      </c>
      <c r="D18" s="88">
        <f t="shared" ca="1" si="2"/>
        <v>12</v>
      </c>
      <c r="E18" s="73">
        <v>1000000</v>
      </c>
      <c r="F18" s="76" t="s">
        <v>167</v>
      </c>
      <c r="G18" s="76" t="s">
        <v>168</v>
      </c>
      <c r="H18" s="76"/>
      <c r="I18" s="76"/>
    </row>
    <row r="19" spans="2:21" ht="22.5" customHeight="1" x14ac:dyDescent="0.25">
      <c r="B19" s="76">
        <f t="shared" ca="1" si="0"/>
        <v>2019</v>
      </c>
      <c r="C19" s="75" t="str">
        <f t="shared" ca="1" si="1"/>
        <v>marzo</v>
      </c>
      <c r="D19" s="88">
        <f t="shared" ca="1" si="2"/>
        <v>13</v>
      </c>
      <c r="E19" s="73">
        <v>1000000</v>
      </c>
      <c r="F19" s="76" t="s">
        <v>167</v>
      </c>
      <c r="G19" s="76" t="s">
        <v>168</v>
      </c>
      <c r="H19" s="76"/>
      <c r="I19" s="76"/>
    </row>
    <row r="20" spans="2:21" ht="22.5" customHeight="1" x14ac:dyDescent="0.25">
      <c r="B20" s="76">
        <f t="shared" ca="1" si="0"/>
        <v>2019</v>
      </c>
      <c r="C20" s="75" t="str">
        <f t="shared" ca="1" si="1"/>
        <v>marzo</v>
      </c>
      <c r="D20" s="88">
        <f t="shared" ca="1" si="2"/>
        <v>14</v>
      </c>
      <c r="E20" s="73">
        <v>1000000</v>
      </c>
      <c r="F20" s="76" t="s">
        <v>167</v>
      </c>
      <c r="G20" s="76" t="s">
        <v>168</v>
      </c>
      <c r="H20" s="76"/>
      <c r="I20" s="76"/>
    </row>
    <row r="21" spans="2:21" ht="22.5" customHeight="1" x14ac:dyDescent="0.25">
      <c r="B21" s="76">
        <f t="shared" ca="1" si="0"/>
        <v>2019</v>
      </c>
      <c r="C21" s="75" t="str">
        <f t="shared" ca="1" si="1"/>
        <v>marzo</v>
      </c>
      <c r="D21" s="88">
        <f t="shared" ca="1" si="2"/>
        <v>15</v>
      </c>
      <c r="E21" s="73">
        <v>1000000</v>
      </c>
      <c r="F21" s="76" t="s">
        <v>167</v>
      </c>
      <c r="G21" s="76" t="s">
        <v>168</v>
      </c>
      <c r="H21" s="76"/>
      <c r="I21" s="76"/>
    </row>
    <row r="22" spans="2:21" ht="22.5" customHeight="1" x14ac:dyDescent="0.25">
      <c r="B22" s="76">
        <f t="shared" ca="1" si="0"/>
        <v>2019</v>
      </c>
      <c r="C22" s="75" t="str">
        <f t="shared" ca="1" si="1"/>
        <v>marzo</v>
      </c>
      <c r="D22" s="88">
        <f t="shared" ca="1" si="2"/>
        <v>16</v>
      </c>
      <c r="E22" s="73">
        <v>1000000</v>
      </c>
      <c r="F22" s="76" t="s">
        <v>167</v>
      </c>
      <c r="G22" s="76" t="s">
        <v>168</v>
      </c>
      <c r="H22" s="76"/>
      <c r="I22" s="76"/>
    </row>
    <row r="23" spans="2:21" ht="22.5" customHeight="1" x14ac:dyDescent="0.25">
      <c r="B23" s="76">
        <f t="shared" ca="1" si="0"/>
        <v>2019</v>
      </c>
      <c r="C23" s="75" t="str">
        <f t="shared" ca="1" si="1"/>
        <v>marzo</v>
      </c>
      <c r="D23" s="88">
        <f t="shared" ca="1" si="2"/>
        <v>17</v>
      </c>
      <c r="E23" s="73">
        <v>1000000</v>
      </c>
      <c r="F23" s="76" t="s">
        <v>167</v>
      </c>
      <c r="G23" s="76" t="s">
        <v>168</v>
      </c>
      <c r="H23" s="76"/>
      <c r="I23" s="76"/>
    </row>
    <row r="24" spans="2:21" ht="22.5" customHeight="1" x14ac:dyDescent="0.25">
      <c r="B24" s="76">
        <f t="shared" ca="1" si="0"/>
        <v>2019</v>
      </c>
      <c r="C24" s="75" t="str">
        <f t="shared" ca="1" si="1"/>
        <v>marzo</v>
      </c>
      <c r="D24" s="88">
        <f t="shared" ca="1" si="2"/>
        <v>18</v>
      </c>
      <c r="E24" s="73">
        <v>1000000</v>
      </c>
      <c r="F24" s="76" t="s">
        <v>167</v>
      </c>
      <c r="G24" s="76" t="s">
        <v>168</v>
      </c>
      <c r="H24" s="76"/>
      <c r="I24" s="76"/>
    </row>
    <row r="25" spans="2:21" ht="22.5" customHeight="1" x14ac:dyDescent="0.25">
      <c r="B25" s="76">
        <f t="shared" ca="1" si="0"/>
        <v>2019</v>
      </c>
      <c r="C25" s="75" t="str">
        <f t="shared" ca="1" si="1"/>
        <v>marzo</v>
      </c>
      <c r="D25" s="88">
        <f t="shared" ca="1" si="2"/>
        <v>19</v>
      </c>
      <c r="E25" s="73">
        <v>1000000</v>
      </c>
      <c r="F25" s="76" t="s">
        <v>167</v>
      </c>
      <c r="G25" s="76" t="s">
        <v>168</v>
      </c>
      <c r="H25" s="76"/>
      <c r="I25" s="76"/>
    </row>
    <row r="26" spans="2:21" ht="22.5" customHeight="1" x14ac:dyDescent="0.25">
      <c r="B26" s="76">
        <f t="shared" ca="1" si="0"/>
        <v>2019</v>
      </c>
      <c r="C26" s="75" t="str">
        <f t="shared" ca="1" si="1"/>
        <v>marzo</v>
      </c>
      <c r="D26" s="88">
        <f t="shared" ca="1" si="2"/>
        <v>20</v>
      </c>
      <c r="E26" s="73">
        <v>1000000</v>
      </c>
      <c r="F26" s="76" t="s">
        <v>167</v>
      </c>
      <c r="G26" s="76" t="s">
        <v>168</v>
      </c>
      <c r="H26" s="76"/>
      <c r="I26" s="76"/>
    </row>
    <row r="27" spans="2:21" ht="22.5" customHeight="1" x14ac:dyDescent="0.25">
      <c r="B27" s="76">
        <f t="shared" ca="1" si="0"/>
        <v>2019</v>
      </c>
      <c r="C27" s="75" t="str">
        <f t="shared" ca="1" si="1"/>
        <v>marzo</v>
      </c>
      <c r="D27" s="88">
        <f t="shared" ca="1" si="2"/>
        <v>21</v>
      </c>
      <c r="E27" s="73">
        <v>1000000</v>
      </c>
      <c r="F27" s="76" t="s">
        <v>167</v>
      </c>
      <c r="G27" s="76" t="s">
        <v>168</v>
      </c>
      <c r="H27" s="76"/>
      <c r="I27" s="76"/>
    </row>
    <row r="28" spans="2:21" ht="22.5" customHeight="1" x14ac:dyDescent="0.25">
      <c r="B28" s="76">
        <f t="shared" ca="1" si="0"/>
        <v>2019</v>
      </c>
      <c r="C28" s="75" t="str">
        <f t="shared" ca="1" si="1"/>
        <v>marzo</v>
      </c>
      <c r="D28" s="88">
        <f t="shared" ca="1" si="2"/>
        <v>22</v>
      </c>
      <c r="E28" s="73">
        <v>1000000</v>
      </c>
      <c r="F28" s="76" t="s">
        <v>167</v>
      </c>
      <c r="G28" s="76" t="s">
        <v>168</v>
      </c>
      <c r="H28" s="76"/>
      <c r="I28" s="76"/>
    </row>
    <row r="29" spans="2:21" ht="22.5" customHeight="1" x14ac:dyDescent="0.25">
      <c r="B29" s="76">
        <f t="shared" ca="1" si="0"/>
        <v>2019</v>
      </c>
      <c r="C29" s="75" t="str">
        <f t="shared" ca="1" si="1"/>
        <v>marzo</v>
      </c>
      <c r="D29" s="88">
        <f t="shared" ca="1" si="2"/>
        <v>23</v>
      </c>
      <c r="E29" s="73">
        <v>1000000</v>
      </c>
      <c r="F29" s="76" t="s">
        <v>167</v>
      </c>
      <c r="G29" s="76" t="s">
        <v>168</v>
      </c>
      <c r="H29" s="76"/>
      <c r="I29" s="76"/>
    </row>
    <row r="30" spans="2:21" ht="22.5" customHeight="1" x14ac:dyDescent="0.25">
      <c r="B30" s="76">
        <f t="shared" ca="1" si="0"/>
        <v>2019</v>
      </c>
      <c r="C30" s="75" t="str">
        <f t="shared" ca="1" si="1"/>
        <v>marzo</v>
      </c>
      <c r="D30" s="88">
        <f t="shared" ca="1" si="2"/>
        <v>24</v>
      </c>
      <c r="E30" s="73">
        <v>1000000</v>
      </c>
      <c r="F30" s="76" t="s">
        <v>167</v>
      </c>
      <c r="G30" s="76" t="s">
        <v>168</v>
      </c>
      <c r="H30" s="76"/>
      <c r="I30" s="76"/>
    </row>
    <row r="31" spans="2:21" ht="22.5" customHeight="1" x14ac:dyDescent="0.25">
      <c r="B31" s="76">
        <f t="shared" ca="1" si="0"/>
        <v>2019</v>
      </c>
      <c r="C31" s="75" t="str">
        <f t="shared" ca="1" si="1"/>
        <v>marzo</v>
      </c>
      <c r="D31" s="88">
        <f t="shared" ca="1" si="2"/>
        <v>25</v>
      </c>
      <c r="E31" s="73">
        <v>1000000</v>
      </c>
      <c r="F31" s="76" t="s">
        <v>167</v>
      </c>
      <c r="G31" s="76" t="s">
        <v>168</v>
      </c>
      <c r="H31" s="76"/>
      <c r="I31" s="76"/>
    </row>
    <row r="32" spans="2:21" ht="22.5" customHeight="1" x14ac:dyDescent="0.25">
      <c r="B32" s="76">
        <f t="shared" ca="1" si="0"/>
        <v>2019</v>
      </c>
      <c r="C32" s="75" t="str">
        <f t="shared" ca="1" si="1"/>
        <v>marzo</v>
      </c>
      <c r="D32" s="88">
        <f t="shared" ca="1" si="2"/>
        <v>26</v>
      </c>
      <c r="E32" s="73">
        <v>1000000</v>
      </c>
      <c r="F32" s="76" t="s">
        <v>167</v>
      </c>
      <c r="G32" s="76" t="s">
        <v>168</v>
      </c>
      <c r="H32" s="76"/>
      <c r="I32" s="76"/>
    </row>
    <row r="33" spans="2:24" ht="22.5" customHeight="1" x14ac:dyDescent="0.25">
      <c r="B33" s="76">
        <f t="shared" ca="1" si="0"/>
        <v>2019</v>
      </c>
      <c r="C33" s="75" t="str">
        <f t="shared" ca="1" si="1"/>
        <v>marzo</v>
      </c>
      <c r="D33" s="88">
        <f t="shared" ca="1" si="2"/>
        <v>27</v>
      </c>
      <c r="E33" s="73">
        <v>1000000</v>
      </c>
      <c r="F33" s="76" t="s">
        <v>167</v>
      </c>
      <c r="G33" s="76" t="s">
        <v>168</v>
      </c>
      <c r="H33" s="76"/>
      <c r="I33" s="76"/>
    </row>
    <row r="34" spans="2:24" ht="22.5" customHeight="1" x14ac:dyDescent="0.25">
      <c r="B34" s="76">
        <f t="shared" ca="1" si="0"/>
        <v>2019</v>
      </c>
      <c r="C34" s="75" t="str">
        <f t="shared" ca="1" si="1"/>
        <v>marzo</v>
      </c>
      <c r="D34" s="88">
        <f t="shared" ca="1" si="2"/>
        <v>28</v>
      </c>
      <c r="E34" s="73">
        <v>1000000</v>
      </c>
      <c r="F34" s="76" t="s">
        <v>167</v>
      </c>
      <c r="G34" s="76" t="s">
        <v>168</v>
      </c>
      <c r="H34" s="76"/>
      <c r="I34" s="76"/>
    </row>
    <row r="35" spans="2:24" ht="22.5" customHeight="1" x14ac:dyDescent="0.25">
      <c r="B35" s="76">
        <f t="shared" ca="1" si="0"/>
        <v>2019</v>
      </c>
      <c r="C35" s="75" t="str">
        <f t="shared" ca="1" si="1"/>
        <v>marzo</v>
      </c>
      <c r="D35" s="88">
        <f t="shared" ca="1" si="2"/>
        <v>29</v>
      </c>
      <c r="E35" s="73">
        <v>1000000</v>
      </c>
      <c r="F35" s="76" t="s">
        <v>167</v>
      </c>
      <c r="G35" s="76" t="s">
        <v>168</v>
      </c>
      <c r="H35" s="76"/>
      <c r="I35" s="76"/>
    </row>
    <row r="36" spans="2:24" ht="22.5" customHeight="1" x14ac:dyDescent="0.25">
      <c r="B36" s="76">
        <f t="shared" ca="1" si="0"/>
        <v>2019</v>
      </c>
      <c r="C36" s="75" t="str">
        <f t="shared" ca="1" si="1"/>
        <v>marzo</v>
      </c>
      <c r="D36" s="88">
        <f t="shared" ca="1" si="2"/>
        <v>30</v>
      </c>
      <c r="E36" s="73">
        <v>1000000</v>
      </c>
      <c r="F36" s="76" t="s">
        <v>167</v>
      </c>
      <c r="G36" s="76" t="s">
        <v>168</v>
      </c>
      <c r="H36" s="76"/>
      <c r="I36" s="76"/>
    </row>
    <row r="37" spans="2:24" ht="22.5" customHeight="1" thickBot="1" x14ac:dyDescent="0.3">
      <c r="B37" s="76">
        <f t="shared" ca="1" si="0"/>
        <v>2019</v>
      </c>
      <c r="C37" s="75" t="str">
        <f t="shared" ca="1" si="1"/>
        <v>marzo</v>
      </c>
      <c r="D37" s="88">
        <f t="shared" ca="1" si="2"/>
        <v>31</v>
      </c>
      <c r="E37" s="73">
        <v>1000000</v>
      </c>
      <c r="F37" s="76" t="s">
        <v>167</v>
      </c>
      <c r="G37" s="76" t="s">
        <v>168</v>
      </c>
      <c r="H37" s="96"/>
      <c r="I37" s="96"/>
    </row>
    <row r="38" spans="2:24" ht="22.5" customHeight="1" thickBot="1" x14ac:dyDescent="0.3">
      <c r="B38" s="122" t="s">
        <v>170</v>
      </c>
      <c r="C38" s="122"/>
      <c r="D38" s="122"/>
      <c r="E38" s="74">
        <f>+SUM(E7:E37)</f>
        <v>31000000</v>
      </c>
    </row>
    <row r="39" spans="2:24" ht="22.5" customHeight="1" x14ac:dyDescent="0.25">
      <c r="B39" s="79"/>
      <c r="C39" s="79"/>
      <c r="D39" s="79"/>
    </row>
    <row r="40" spans="2:24" s="68" customFormat="1" x14ac:dyDescent="0.25"/>
    <row r="41" spans="2:24" s="68" customFormat="1" x14ac:dyDescent="0.25"/>
    <row r="42" spans="2:24" s="68" customFormat="1" ht="30" customHeight="1" x14ac:dyDescent="0.25">
      <c r="B42" s="108" t="s">
        <v>172</v>
      </c>
      <c r="C42" s="108"/>
      <c r="D42" s="108"/>
      <c r="E42" s="108"/>
      <c r="F42" s="108"/>
      <c r="G42" s="108"/>
      <c r="H42" s="108"/>
      <c r="I42" s="108"/>
      <c r="J42" s="108"/>
      <c r="K42" s="109"/>
      <c r="L42" s="109"/>
      <c r="M42" s="109"/>
      <c r="N42" s="109"/>
      <c r="O42" s="109"/>
      <c r="P42" s="109"/>
      <c r="Q42" s="109"/>
    </row>
    <row r="43" spans="2:24" s="68" customFormat="1" ht="33" customHeight="1" thickBot="1" x14ac:dyDescent="0.3">
      <c r="B43" s="110" t="s">
        <v>173</v>
      </c>
      <c r="C43" s="110"/>
      <c r="D43" s="71"/>
      <c r="E43" s="71" t="s">
        <v>174</v>
      </c>
      <c r="F43" s="71"/>
      <c r="G43" s="110" t="s">
        <v>174</v>
      </c>
      <c r="H43" s="110"/>
      <c r="I43" s="110"/>
      <c r="J43" s="110"/>
      <c r="K43" s="111" t="s">
        <v>175</v>
      </c>
      <c r="L43" s="111"/>
      <c r="M43" s="111"/>
      <c r="N43" s="111"/>
      <c r="O43" s="111"/>
      <c r="P43" s="111"/>
      <c r="Q43" s="111"/>
      <c r="R43" s="110" t="s">
        <v>176</v>
      </c>
      <c r="S43" s="110"/>
      <c r="T43" s="110"/>
      <c r="U43" s="110"/>
      <c r="V43" s="110"/>
      <c r="W43" s="110"/>
      <c r="X43" s="110"/>
    </row>
    <row r="44" spans="2:24" s="68" customFormat="1" x14ac:dyDescent="0.25">
      <c r="B44" s="112"/>
      <c r="C44" s="112"/>
      <c r="D44" s="90"/>
      <c r="E44" s="82"/>
      <c r="F44" s="91"/>
      <c r="G44" s="113"/>
      <c r="H44" s="113"/>
      <c r="I44" s="113"/>
      <c r="J44" s="113"/>
      <c r="K44" s="80"/>
      <c r="L44" s="80"/>
      <c r="M44" s="80"/>
      <c r="N44" s="80"/>
      <c r="O44" s="80"/>
      <c r="P44" s="80"/>
      <c r="Q44" s="80"/>
      <c r="R44" s="114"/>
      <c r="S44" s="114"/>
      <c r="T44" s="114"/>
      <c r="U44" s="114"/>
      <c r="V44" s="114"/>
      <c r="W44" s="114"/>
      <c r="X44" s="114"/>
    </row>
    <row r="45" spans="2:24" s="68" customFormat="1" x14ac:dyDescent="0.25">
      <c r="B45" s="115"/>
      <c r="C45" s="115"/>
      <c r="D45" s="76"/>
      <c r="E45" s="82"/>
      <c r="F45" s="82"/>
      <c r="G45" s="116"/>
      <c r="H45" s="116"/>
      <c r="I45" s="116"/>
      <c r="J45" s="116"/>
      <c r="K45" s="80"/>
      <c r="L45" s="80"/>
      <c r="M45" s="80"/>
      <c r="N45" s="80"/>
      <c r="O45" s="80"/>
      <c r="P45" s="80"/>
      <c r="Q45" s="80"/>
      <c r="R45" s="117"/>
      <c r="S45" s="117"/>
      <c r="T45" s="117"/>
      <c r="U45" s="117"/>
      <c r="V45" s="117"/>
      <c r="W45" s="117"/>
      <c r="X45" s="117"/>
    </row>
    <row r="46" spans="2:24" s="68" customFormat="1" x14ac:dyDescent="0.25">
      <c r="B46" s="115"/>
      <c r="C46" s="115"/>
      <c r="D46" s="76"/>
      <c r="E46" s="82"/>
      <c r="F46" s="82"/>
      <c r="G46" s="116"/>
      <c r="H46" s="116"/>
      <c r="I46" s="116"/>
      <c r="J46" s="116"/>
      <c r="K46" s="80"/>
      <c r="L46" s="80"/>
      <c r="M46" s="80"/>
      <c r="N46" s="80"/>
      <c r="O46" s="80"/>
      <c r="P46" s="80"/>
      <c r="Q46" s="80"/>
      <c r="R46" s="117"/>
      <c r="S46" s="117"/>
      <c r="T46" s="117"/>
      <c r="U46" s="117"/>
      <c r="V46" s="117"/>
      <c r="W46" s="117"/>
      <c r="X46" s="117"/>
    </row>
    <row r="47" spans="2:24" s="68" customFormat="1" x14ac:dyDescent="0.25">
      <c r="B47" s="115"/>
      <c r="C47" s="115"/>
      <c r="D47" s="76"/>
      <c r="E47" s="82"/>
      <c r="F47" s="82"/>
      <c r="G47" s="116"/>
      <c r="H47" s="116"/>
      <c r="I47" s="116"/>
      <c r="J47" s="116"/>
      <c r="K47" s="80"/>
      <c r="L47" s="80"/>
      <c r="M47" s="80"/>
      <c r="N47" s="80"/>
      <c r="O47" s="80"/>
      <c r="P47" s="80"/>
      <c r="Q47" s="80"/>
      <c r="R47" s="117"/>
      <c r="S47" s="117"/>
      <c r="T47" s="117"/>
      <c r="U47" s="117"/>
      <c r="V47" s="117"/>
      <c r="W47" s="117"/>
      <c r="X47" s="117"/>
    </row>
    <row r="48" spans="2:24" s="68" customFormat="1" x14ac:dyDescent="0.25">
      <c r="B48" s="115"/>
      <c r="C48" s="115"/>
      <c r="D48" s="76"/>
      <c r="E48" s="82"/>
      <c r="F48" s="82"/>
      <c r="G48" s="116"/>
      <c r="H48" s="116"/>
      <c r="I48" s="116"/>
      <c r="J48" s="116"/>
      <c r="K48" s="80"/>
      <c r="L48" s="80"/>
      <c r="M48" s="80"/>
      <c r="N48" s="80"/>
      <c r="O48" s="80"/>
      <c r="P48" s="80"/>
      <c r="Q48" s="80"/>
      <c r="R48" s="117"/>
      <c r="S48" s="117"/>
      <c r="T48" s="117"/>
      <c r="U48" s="117"/>
      <c r="V48" s="117"/>
      <c r="W48" s="117"/>
      <c r="X48" s="117"/>
    </row>
    <row r="49" spans="2:24" s="68" customFormat="1" ht="17.25" thickBot="1" x14ac:dyDescent="0.3">
      <c r="B49" s="118"/>
      <c r="C49" s="118"/>
      <c r="D49" s="77"/>
      <c r="E49" s="83"/>
      <c r="F49" s="83"/>
      <c r="G49" s="119"/>
      <c r="H49" s="119"/>
      <c r="I49" s="119"/>
      <c r="J49" s="119"/>
      <c r="K49" s="81"/>
      <c r="L49" s="81"/>
      <c r="M49" s="81"/>
      <c r="N49" s="81"/>
      <c r="O49" s="81"/>
      <c r="P49" s="81"/>
      <c r="Q49" s="81"/>
      <c r="R49" s="118"/>
      <c r="S49" s="118"/>
      <c r="T49" s="118"/>
      <c r="U49" s="118"/>
      <c r="V49" s="118"/>
      <c r="W49" s="118"/>
      <c r="X49" s="118"/>
    </row>
    <row r="50" spans="2:24" s="68" customFormat="1" x14ac:dyDescent="0.25"/>
    <row r="51" spans="2:24" s="68" customFormat="1" x14ac:dyDescent="0.25"/>
    <row r="52" spans="2:24" x14ac:dyDescent="0.25"/>
    <row r="53" spans="2:24" ht="18.75" x14ac:dyDescent="0.25">
      <c r="B53" s="120" t="s">
        <v>177</v>
      </c>
      <c r="C53" s="120"/>
      <c r="D53" s="120"/>
      <c r="E53" s="120"/>
      <c r="F53" s="120"/>
      <c r="G53" s="120"/>
      <c r="H53" s="78"/>
      <c r="I53" s="78"/>
    </row>
    <row r="54" spans="2:24" x14ac:dyDescent="0.25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2:24" x14ac:dyDescent="0.2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2:24" x14ac:dyDescent="0.25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2:24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2:24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2:24" x14ac:dyDescent="0.25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2:24" x14ac:dyDescent="0.2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2:24" x14ac:dyDescent="0.25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2:24" x14ac:dyDescent="0.2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2:24" x14ac:dyDescent="0.25"/>
  </sheetData>
  <mergeCells count="34">
    <mergeCell ref="B53:G53"/>
    <mergeCell ref="B54:X62"/>
    <mergeCell ref="B48:C48"/>
    <mergeCell ref="G48:J48"/>
    <mergeCell ref="R48:X48"/>
    <mergeCell ref="B49:C49"/>
    <mergeCell ref="G49:J49"/>
    <mergeCell ref="R49:X49"/>
    <mergeCell ref="B46:C46"/>
    <mergeCell ref="G46:J46"/>
    <mergeCell ref="R46:X46"/>
    <mergeCell ref="B47:C47"/>
    <mergeCell ref="G47:J47"/>
    <mergeCell ref="R47:X47"/>
    <mergeCell ref="B44:C44"/>
    <mergeCell ref="G44:J44"/>
    <mergeCell ref="R44:X44"/>
    <mergeCell ref="B45:C45"/>
    <mergeCell ref="G45:J45"/>
    <mergeCell ref="R45:X45"/>
    <mergeCell ref="S17:T17"/>
    <mergeCell ref="B38:D38"/>
    <mergeCell ref="B42:J42"/>
    <mergeCell ref="K42:Q42"/>
    <mergeCell ref="B43:C43"/>
    <mergeCell ref="G43:J43"/>
    <mergeCell ref="K43:Q43"/>
    <mergeCell ref="R43:X43"/>
    <mergeCell ref="C2:G2"/>
    <mergeCell ref="E3:F3"/>
    <mergeCell ref="B4:E4"/>
    <mergeCell ref="K4:N4"/>
    <mergeCell ref="S4:Y4"/>
    <mergeCell ref="K11:L11"/>
  </mergeCells>
  <dataValidations count="4">
    <dataValidation type="list" allowBlank="1" showInputMessage="1" showErrorMessage="1" sqref="V7:V16 N7:N10 F7:F37" xr:uid="{CF624C14-B77E-42E6-9A9D-0B363E4C4025}">
      <formula1>MODALIDAD</formula1>
    </dataValidation>
    <dataValidation type="list" allowBlank="1" showInputMessage="1" showErrorMessage="1" sqref="O7:O10 W7:W16 G7:G37" xr:uid="{25D506F4-1D60-4CAC-AA87-2D53BDBA7A08}">
      <formula1>TIPO_SUMINISTRO</formula1>
    </dataValidation>
    <dataValidation type="list" allowBlank="1" showInputMessage="1" showErrorMessage="1" sqref="G3" xr:uid="{0637B954-E5DA-4AD3-B55E-3C7C195B144A}">
      <formula1>GASODUCTO</formula1>
    </dataValidation>
    <dataValidation type="list" allowBlank="1" showInputMessage="1" showErrorMessage="1" sqref="K44:Q49" xr:uid="{E38A3BE8-B48A-4C79-8921-038D13FFA544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75E0DE-ABF0-438D-80DB-838566C23C81}">
          <x14:formula1>
            <xm:f>[Formato_Informacion_Recurso_primarioDA.xlsx]Aux!#REF!</xm:f>
          </x14:formula1>
          <xm:sqref>C2:G2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F3D7-14D8-4114-8083-1AE12E45B4D3}">
  <sheetPr codeName="Hoja5"/>
  <dimension ref="A1:T25"/>
  <sheetViews>
    <sheetView showGridLines="0" workbookViewId="0">
      <selection activeCell="S12" sqref="S12"/>
    </sheetView>
  </sheetViews>
  <sheetFormatPr baseColWidth="10" defaultRowHeight="15" zeroHeight="1" x14ac:dyDescent="0.25"/>
  <cols>
    <col min="4" max="7" width="29.42578125" bestFit="1" customWidth="1"/>
    <col min="8" max="8" width="11" bestFit="1" customWidth="1"/>
    <col min="9" max="9" width="12.28515625" bestFit="1" customWidth="1"/>
    <col min="10" max="10" width="10.28515625" bestFit="1" customWidth="1"/>
    <col min="11" max="11" width="12.42578125" bestFit="1" customWidth="1"/>
    <col min="12" max="12" width="6.42578125" bestFit="1" customWidth="1"/>
    <col min="13" max="13" width="8.5703125" bestFit="1" customWidth="1"/>
    <col min="14" max="14" width="8" bestFit="1" customWidth="1"/>
    <col min="15" max="15" width="6.5703125" bestFit="1" customWidth="1"/>
    <col min="16" max="16" width="9.7109375" bestFit="1" customWidth="1"/>
    <col min="17" max="17" width="34.85546875" bestFit="1" customWidth="1"/>
    <col min="18" max="18" width="14.5703125" bestFit="1" customWidth="1"/>
    <col min="19" max="20" width="18" bestFit="1" customWidth="1"/>
  </cols>
  <sheetData>
    <row r="1" spans="1:20" ht="21" x14ac:dyDescent="0.25">
      <c r="A1" s="58" t="s">
        <v>99</v>
      </c>
      <c r="B1" s="58"/>
      <c r="C1" s="58"/>
      <c r="D1" s="58"/>
      <c r="E1" s="58"/>
    </row>
    <row r="2" spans="1:20" x14ac:dyDescent="0.25"/>
    <row r="3" spans="1:20" ht="15.75" thickBot="1" x14ac:dyDescent="0.3"/>
    <row r="4" spans="1:20" ht="15.75" thickBot="1" x14ac:dyDescent="0.3">
      <c r="B4" s="59" t="s">
        <v>53</v>
      </c>
      <c r="C4" s="61" t="s">
        <v>54</v>
      </c>
      <c r="D4" s="26" t="s">
        <v>71</v>
      </c>
      <c r="E4" s="26" t="s">
        <v>71</v>
      </c>
      <c r="F4" s="26" t="s">
        <v>71</v>
      </c>
      <c r="G4" s="26" t="s">
        <v>71</v>
      </c>
      <c r="H4" s="26" t="s">
        <v>76</v>
      </c>
      <c r="I4" s="26" t="s">
        <v>76</v>
      </c>
      <c r="J4" s="26" t="s">
        <v>76</v>
      </c>
      <c r="K4" s="26" t="s">
        <v>76</v>
      </c>
      <c r="L4" s="26" t="s">
        <v>15</v>
      </c>
      <c r="M4" s="26" t="s">
        <v>15</v>
      </c>
      <c r="N4" s="26" t="s">
        <v>120</v>
      </c>
      <c r="O4" s="26" t="s">
        <v>120</v>
      </c>
      <c r="P4" s="26" t="s">
        <v>120</v>
      </c>
      <c r="Q4" s="26" t="s">
        <v>120</v>
      </c>
      <c r="R4" s="26" t="s">
        <v>126</v>
      </c>
      <c r="S4" s="26" t="s">
        <v>131</v>
      </c>
      <c r="T4" s="38" t="s">
        <v>131</v>
      </c>
    </row>
    <row r="5" spans="1:20" ht="15.75" thickBot="1" x14ac:dyDescent="0.3">
      <c r="B5" s="60"/>
      <c r="C5" s="62"/>
      <c r="D5" s="31" t="s">
        <v>67</v>
      </c>
      <c r="E5" s="32" t="s">
        <v>68</v>
      </c>
      <c r="F5" s="32" t="s">
        <v>69</v>
      </c>
      <c r="G5" s="32" t="s">
        <v>70</v>
      </c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77</v>
      </c>
      <c r="M5" s="32" t="s">
        <v>78</v>
      </c>
      <c r="N5" s="32" t="s">
        <v>116</v>
      </c>
      <c r="O5" s="32" t="s">
        <v>117</v>
      </c>
      <c r="P5" s="32" t="s">
        <v>118</v>
      </c>
      <c r="Q5" s="32" t="s">
        <v>119</v>
      </c>
      <c r="R5" s="32" t="s">
        <v>127</v>
      </c>
      <c r="S5" s="32" t="s">
        <v>132</v>
      </c>
      <c r="T5" s="33" t="s">
        <v>133</v>
      </c>
    </row>
    <row r="6" spans="1:20" x14ac:dyDescent="0.25">
      <c r="B6" s="15">
        <v>2019</v>
      </c>
      <c r="C6" s="18" t="s">
        <v>57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0.81632007060995726</v>
      </c>
      <c r="M6" s="27">
        <v>0.98289837767419175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8">
        <v>1</v>
      </c>
    </row>
    <row r="7" spans="1:20" x14ac:dyDescent="0.25">
      <c r="B7" s="15">
        <v>2019</v>
      </c>
      <c r="C7" s="18" t="s">
        <v>58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0.81632007060995726</v>
      </c>
      <c r="M7" s="27">
        <v>0.98289837767419175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8">
        <v>1</v>
      </c>
    </row>
    <row r="8" spans="1:20" x14ac:dyDescent="0.25">
      <c r="B8" s="15">
        <v>2019</v>
      </c>
      <c r="C8" s="18" t="s">
        <v>59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0.81632007060995726</v>
      </c>
      <c r="M8" s="27">
        <v>0.98289837767419175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8">
        <v>1</v>
      </c>
    </row>
    <row r="9" spans="1:20" x14ac:dyDescent="0.25">
      <c r="B9" s="15">
        <v>2019</v>
      </c>
      <c r="C9" s="18" t="s">
        <v>60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0.81632007060995726</v>
      </c>
      <c r="M9" s="27">
        <v>0.98289837767419175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8">
        <v>1</v>
      </c>
    </row>
    <row r="10" spans="1:20" x14ac:dyDescent="0.25">
      <c r="B10" s="15">
        <v>2019</v>
      </c>
      <c r="C10" s="18" t="s">
        <v>61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0.81632007060995726</v>
      </c>
      <c r="M10" s="27">
        <v>0.98289837767419175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8">
        <v>1</v>
      </c>
    </row>
    <row r="11" spans="1:20" x14ac:dyDescent="0.25">
      <c r="B11" s="15">
        <v>2019</v>
      </c>
      <c r="C11" s="18" t="s">
        <v>62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0.81632007060995726</v>
      </c>
      <c r="M11" s="27">
        <v>0.98289837767419175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8">
        <v>1</v>
      </c>
    </row>
    <row r="12" spans="1:20" x14ac:dyDescent="0.25">
      <c r="B12" s="15">
        <v>2019</v>
      </c>
      <c r="C12" s="18" t="s">
        <v>63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0.81632007060995726</v>
      </c>
      <c r="M12" s="27">
        <v>0.98289837767419175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8">
        <v>1</v>
      </c>
    </row>
    <row r="13" spans="1:20" x14ac:dyDescent="0.25">
      <c r="B13" s="15">
        <v>2019</v>
      </c>
      <c r="C13" s="18" t="s">
        <v>64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0.81632007060995726</v>
      </c>
      <c r="M13" s="27">
        <v>0.98289837767419175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8">
        <v>1</v>
      </c>
    </row>
    <row r="14" spans="1:20" x14ac:dyDescent="0.25">
      <c r="B14" s="15">
        <v>2019</v>
      </c>
      <c r="C14" s="18" t="s">
        <v>65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0.81632007060995726</v>
      </c>
      <c r="M14" s="27">
        <v>0.98289837767419175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8">
        <v>1</v>
      </c>
    </row>
    <row r="15" spans="1:20" x14ac:dyDescent="0.25">
      <c r="B15" s="15">
        <v>2019</v>
      </c>
      <c r="C15" s="18" t="s">
        <v>66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0.81632007060995726</v>
      </c>
      <c r="M15" s="27">
        <v>0.98289837767419175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8">
        <v>1</v>
      </c>
    </row>
    <row r="16" spans="1:20" x14ac:dyDescent="0.25">
      <c r="B16" s="15">
        <v>2019</v>
      </c>
      <c r="C16" s="18" t="s">
        <v>55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0.81632007060995726</v>
      </c>
      <c r="M16" s="27">
        <v>0.98289837767419175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8">
        <v>1</v>
      </c>
    </row>
    <row r="17" spans="2:20" ht="15.75" thickBot="1" x14ac:dyDescent="0.3">
      <c r="B17" s="19">
        <v>2020</v>
      </c>
      <c r="C17" s="22" t="s">
        <v>56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0.81632007060995726</v>
      </c>
      <c r="M17" s="29">
        <v>0.98289837767419175</v>
      </c>
      <c r="N17" s="29">
        <v>1</v>
      </c>
      <c r="O17" s="29">
        <v>1</v>
      </c>
      <c r="P17" s="29">
        <v>1</v>
      </c>
      <c r="Q17" s="29">
        <v>1</v>
      </c>
      <c r="R17" s="29">
        <v>1</v>
      </c>
      <c r="S17" s="29">
        <v>1</v>
      </c>
      <c r="T17" s="30">
        <v>1</v>
      </c>
    </row>
    <row r="18" spans="2:20" x14ac:dyDescent="0.25"/>
    <row r="19" spans="2:20" x14ac:dyDescent="0.25"/>
    <row r="20" spans="2:20" x14ac:dyDescent="0.25"/>
    <row r="21" spans="2:20" hidden="1" x14ac:dyDescent="0.25"/>
    <row r="22" spans="2:20" hidden="1" x14ac:dyDescent="0.25"/>
    <row r="23" spans="2:20" hidden="1" x14ac:dyDescent="0.25"/>
    <row r="24" spans="2:20" hidden="1" x14ac:dyDescent="0.25"/>
    <row r="25" spans="2:20" hidden="1" x14ac:dyDescent="0.25"/>
  </sheetData>
  <mergeCells count="3">
    <mergeCell ref="A1:E1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Notas</vt:lpstr>
      <vt:lpstr>(1) ADP Carbón</vt:lpstr>
      <vt:lpstr>(2) ADP GNL</vt:lpstr>
      <vt:lpstr>(3) Programa Nominaciones GNL</vt:lpstr>
      <vt:lpstr>3.1 GN GM</vt:lpstr>
      <vt:lpstr>3.2 GN Enel</vt:lpstr>
      <vt:lpstr>3.3 GN SGA</vt:lpstr>
      <vt:lpstr>3.4 GN Engie</vt:lpstr>
      <vt:lpstr>(4) Disponibilidad Diesel</vt:lpstr>
      <vt:lpstr>(5) Disponibilidad Biomasa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Campos Flores</dc:creator>
  <cp:lastModifiedBy>Hero Morales Mancilla</cp:lastModifiedBy>
  <dcterms:created xsi:type="dcterms:W3CDTF">2018-12-17T12:57:34Z</dcterms:created>
  <dcterms:modified xsi:type="dcterms:W3CDTF">2019-02-15T19:12:29Z</dcterms:modified>
</cp:coreProperties>
</file>