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9126"/>
  <workbookPr/>
  <mc:AlternateContent xmlns:mc="http://schemas.openxmlformats.org/markup-compatibility/2006">
    <mc:Choice Requires="x15">
      <x15ac:absPath xmlns:x15ac="http://schemas.microsoft.com/office/spreadsheetml/2010/11/ac" url="S:\Ajuste y Recargo\Equidad Tarifaria\Reliquidaciones\2018\1810\Def\"/>
    </mc:Choice>
  </mc:AlternateContent>
  <xr:revisionPtr revIDLastSave="0" documentId="10_ncr:100000_{C32D7FE6-CA03-4732-BF94-8C3C217E351D}" xr6:coauthVersionLast="31" xr6:coauthVersionMax="31" xr10:uidLastSave="{00000000-0000-0000-0000-000000000000}"/>
  <bookViews>
    <workbookView xWindow="0" yWindow="0" windowWidth="19204" windowHeight="6947" xr2:uid="{00000000-000D-0000-FFFF-FFFF00000000}"/>
  </bookViews>
  <sheets>
    <sheet name="Pagos" sheetId="4" r:id="rId1"/>
    <sheet name="1807" sheetId="8" r:id="rId2"/>
    <sheet name="1808" sheetId="10" r:id="rId3"/>
    <sheet name="1809" sheetId="12" r:id="rId4"/>
    <sheet name="1810" sheetId="13" r:id="rId5"/>
    <sheet name="Actualización saldo Enel Dx" sheetId="11" r:id="rId6"/>
  </sheets>
  <definedNames>
    <definedName name="_xlnm._FilterDatabase" localSheetId="0" hidden="1">Pagos!$J$6:$L$39</definedName>
    <definedName name="_xlnm.Print_Area" localSheetId="0">Pagos!$B$45:$O$67</definedName>
  </definedName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2" i="11" l="1"/>
  <c r="F11" i="11"/>
  <c r="F10" i="11"/>
  <c r="F8" i="11"/>
  <c r="F7" i="11"/>
  <c r="F6" i="11"/>
  <c r="F5" i="11"/>
  <c r="F4" i="11"/>
  <c r="G8" i="4" l="1"/>
  <c r="G9" i="4"/>
  <c r="G10" i="4"/>
  <c r="G11" i="4"/>
  <c r="G12" i="4"/>
  <c r="G13" i="4"/>
  <c r="G14" i="4"/>
  <c r="G15" i="4"/>
  <c r="G16" i="4"/>
  <c r="G17" i="4"/>
  <c r="G18" i="4"/>
  <c r="G19" i="4"/>
  <c r="G20" i="4"/>
  <c r="G21" i="4"/>
  <c r="G22" i="4"/>
  <c r="G23" i="4"/>
  <c r="G24" i="4"/>
  <c r="G25" i="4"/>
  <c r="G26" i="4"/>
  <c r="G27" i="4"/>
  <c r="G28" i="4"/>
  <c r="G29" i="4"/>
  <c r="G30" i="4"/>
  <c r="G31" i="4"/>
  <c r="G32" i="4"/>
  <c r="G33" i="4"/>
  <c r="G34" i="4"/>
  <c r="G35" i="4"/>
  <c r="G36" i="4"/>
  <c r="G37" i="4"/>
  <c r="G38" i="4"/>
  <c r="G7" i="4"/>
  <c r="F8" i="4"/>
  <c r="F9" i="4"/>
  <c r="F10" i="4"/>
  <c r="F11" i="4"/>
  <c r="F12" i="4"/>
  <c r="F13" i="4"/>
  <c r="F14" i="4"/>
  <c r="F15" i="4"/>
  <c r="F16" i="4"/>
  <c r="F17" i="4"/>
  <c r="F18" i="4"/>
  <c r="F19" i="4"/>
  <c r="F20" i="4"/>
  <c r="F21" i="4"/>
  <c r="F22" i="4"/>
  <c r="F23" i="4"/>
  <c r="F24" i="4"/>
  <c r="F25" i="4"/>
  <c r="F26" i="4"/>
  <c r="F27" i="4"/>
  <c r="F28" i="4"/>
  <c r="F29" i="4"/>
  <c r="F30" i="4"/>
  <c r="F31" i="4"/>
  <c r="F32" i="4"/>
  <c r="F33" i="4"/>
  <c r="F34" i="4"/>
  <c r="F35" i="4"/>
  <c r="F36" i="4"/>
  <c r="F37" i="4"/>
  <c r="F38" i="4"/>
  <c r="F7" i="4"/>
  <c r="E38" i="4"/>
  <c r="E8" i="4"/>
  <c r="E9" i="4"/>
  <c r="E10" i="4"/>
  <c r="E11" i="4"/>
  <c r="E12" i="4"/>
  <c r="E13" i="4"/>
  <c r="E14" i="4"/>
  <c r="E15" i="4"/>
  <c r="E16" i="4"/>
  <c r="E17" i="4"/>
  <c r="E18" i="4"/>
  <c r="E19" i="4"/>
  <c r="E20" i="4"/>
  <c r="E21" i="4"/>
  <c r="E22" i="4"/>
  <c r="E23" i="4"/>
  <c r="E24" i="4"/>
  <c r="E25" i="4"/>
  <c r="E26" i="4"/>
  <c r="E27" i="4"/>
  <c r="E28" i="4"/>
  <c r="E29" i="4"/>
  <c r="E30" i="4"/>
  <c r="E31" i="4"/>
  <c r="E32" i="4"/>
  <c r="E33" i="4"/>
  <c r="E34" i="4"/>
  <c r="E35" i="4"/>
  <c r="E36" i="4"/>
  <c r="E37" i="4"/>
  <c r="E7" i="4"/>
  <c r="D8" i="4"/>
  <c r="D9" i="4"/>
  <c r="D10" i="4"/>
  <c r="D11" i="4"/>
  <c r="D12" i="4"/>
  <c r="D13" i="4"/>
  <c r="D14" i="4"/>
  <c r="D15" i="4"/>
  <c r="D16" i="4"/>
  <c r="D17" i="4"/>
  <c r="D18" i="4"/>
  <c r="D19" i="4"/>
  <c r="D20" i="4"/>
  <c r="D21" i="4"/>
  <c r="D22" i="4"/>
  <c r="D23" i="4"/>
  <c r="D24" i="4"/>
  <c r="D25" i="4"/>
  <c r="D26" i="4"/>
  <c r="D27" i="4"/>
  <c r="D28" i="4"/>
  <c r="D29" i="4"/>
  <c r="D30" i="4"/>
  <c r="D31" i="4"/>
  <c r="D32" i="4"/>
  <c r="D33" i="4"/>
  <c r="D34" i="4"/>
  <c r="D35" i="4"/>
  <c r="D36" i="4"/>
  <c r="D37" i="4"/>
  <c r="D38" i="4"/>
  <c r="D7" i="4"/>
  <c r="G6" i="4"/>
  <c r="F6" i="4"/>
  <c r="E6" i="4"/>
  <c r="D6" i="4"/>
  <c r="H28" i="4" l="1"/>
  <c r="H16" i="4"/>
  <c r="H8" i="4"/>
  <c r="H32" i="4"/>
  <c r="H24" i="4"/>
  <c r="H12" i="4"/>
  <c r="H14" i="4"/>
  <c r="H10" i="4"/>
  <c r="H36" i="4"/>
  <c r="H20" i="4"/>
  <c r="H37" i="4"/>
  <c r="H23" i="4"/>
  <c r="H11" i="4"/>
  <c r="H7" i="4"/>
  <c r="H31" i="4"/>
  <c r="H19" i="4"/>
  <c r="H15" i="4"/>
  <c r="H30" i="4"/>
  <c r="H22" i="4"/>
  <c r="H18" i="4"/>
  <c r="H35" i="4"/>
  <c r="H27" i="4"/>
  <c r="H38" i="4"/>
  <c r="H34" i="4"/>
  <c r="H26" i="4"/>
  <c r="H33" i="4"/>
  <c r="H29" i="4"/>
  <c r="H25" i="4"/>
  <c r="H21" i="4"/>
  <c r="H17" i="4"/>
  <c r="H13" i="4"/>
  <c r="C5" i="11"/>
  <c r="F9" i="11" l="1"/>
  <c r="G39" i="4" l="1"/>
  <c r="H9" i="4" l="1"/>
  <c r="I17" i="4"/>
  <c r="J17" i="4"/>
  <c r="F39" i="4"/>
  <c r="I20" i="4" l="1"/>
  <c r="I30" i="4"/>
  <c r="I33" i="4"/>
  <c r="J38" i="4"/>
  <c r="H39" i="4"/>
  <c r="I37" i="4"/>
  <c r="I29" i="4"/>
  <c r="I34" i="4"/>
  <c r="J26" i="4"/>
  <c r="I25" i="4"/>
  <c r="J23" i="4"/>
  <c r="I21" i="4"/>
  <c r="J21" i="4"/>
  <c r="J30" i="4"/>
  <c r="J13" i="4"/>
  <c r="I38" i="4"/>
  <c r="J29" i="4"/>
  <c r="I23" i="4"/>
  <c r="J33" i="4"/>
  <c r="J20" i="4"/>
  <c r="J37" i="4"/>
  <c r="J34" i="4"/>
  <c r="J25" i="4"/>
  <c r="J7" i="4"/>
  <c r="I7" i="4"/>
  <c r="I12" i="4"/>
  <c r="J12" i="4"/>
  <c r="I24" i="4"/>
  <c r="J24" i="4"/>
  <c r="J10" i="4"/>
  <c r="I10" i="4"/>
  <c r="J19" i="4"/>
  <c r="I19" i="4"/>
  <c r="I8" i="4"/>
  <c r="J8" i="4"/>
  <c r="I28" i="4"/>
  <c r="J28" i="4"/>
  <c r="J35" i="4"/>
  <c r="I35" i="4"/>
  <c r="I36" i="4"/>
  <c r="J36" i="4"/>
  <c r="I15" i="4"/>
  <c r="J15" i="4"/>
  <c r="J9" i="4"/>
  <c r="I9" i="4"/>
  <c r="J27" i="4"/>
  <c r="I27" i="4"/>
  <c r="I14" i="4"/>
  <c r="J14" i="4"/>
  <c r="I22" i="4"/>
  <c r="J22" i="4"/>
  <c r="I31" i="4"/>
  <c r="J31" i="4"/>
  <c r="J18" i="4"/>
  <c r="I18" i="4"/>
  <c r="I32" i="4"/>
  <c r="J32" i="4"/>
  <c r="I11" i="4"/>
  <c r="J11" i="4"/>
  <c r="I16" i="4"/>
  <c r="J16" i="4"/>
  <c r="C39" i="4"/>
  <c r="I26" i="4" l="1"/>
  <c r="I13" i="4"/>
  <c r="B46" i="4"/>
  <c r="D39" i="4" l="1"/>
  <c r="E39" i="4"/>
  <c r="J39" i="4" l="1"/>
  <c r="I42" i="4" s="1"/>
  <c r="I39" i="4"/>
  <c r="I41" i="4" s="1"/>
  <c r="I43" i="4" l="1"/>
  <c r="K8" i="4" s="1"/>
  <c r="L8" i="4" s="1"/>
  <c r="K14" i="4" l="1"/>
  <c r="K18" i="4"/>
  <c r="K27" i="4"/>
  <c r="L27" i="4" s="1"/>
  <c r="K31" i="4"/>
  <c r="K17" i="4"/>
  <c r="K12" i="4"/>
  <c r="K13" i="4"/>
  <c r="L13" i="4" s="1"/>
  <c r="K21" i="4"/>
  <c r="K25" i="4"/>
  <c r="L25" i="4" s="1"/>
  <c r="K22" i="4"/>
  <c r="K30" i="4"/>
  <c r="K28" i="4"/>
  <c r="L28" i="4" s="1"/>
  <c r="K34" i="4"/>
  <c r="K32" i="4"/>
  <c r="K19" i="4"/>
  <c r="K16" i="4"/>
  <c r="K11" i="4"/>
  <c r="K29" i="4"/>
  <c r="K15" i="4"/>
  <c r="K9" i="4"/>
  <c r="L9" i="4" s="1"/>
  <c r="K20" i="4"/>
  <c r="K38" i="4"/>
  <c r="K36" i="4"/>
  <c r="K37" i="4"/>
  <c r="K35" i="4"/>
  <c r="K33" i="4"/>
  <c r="K10" i="4"/>
  <c r="K7" i="4"/>
  <c r="K26" i="4"/>
  <c r="L26" i="4" s="1"/>
  <c r="K24" i="4"/>
  <c r="L24" i="4" s="1"/>
  <c r="K23" i="4"/>
  <c r="L21" i="4" l="1"/>
  <c r="H67" i="4"/>
  <c r="L65" i="4"/>
  <c r="L37" i="4"/>
  <c r="L54" i="4"/>
  <c r="L16" i="4"/>
  <c r="K67" i="4"/>
  <c r="L31" i="4"/>
  <c r="J67" i="4"/>
  <c r="L23" i="4"/>
  <c r="F67" i="4"/>
  <c r="L10" i="4"/>
  <c r="L64" i="4"/>
  <c r="L36" i="4"/>
  <c r="L53" i="4"/>
  <c r="L15" i="4"/>
  <c r="G67" i="4"/>
  <c r="L19" i="4"/>
  <c r="L59" i="4"/>
  <c r="L30" i="4"/>
  <c r="C67" i="4"/>
  <c r="L7" i="4"/>
  <c r="L61" i="4"/>
  <c r="L33" i="4"/>
  <c r="L66" i="4"/>
  <c r="L38" i="4"/>
  <c r="L58" i="4"/>
  <c r="L29" i="4"/>
  <c r="L60" i="4"/>
  <c r="L32" i="4"/>
  <c r="I67" i="4"/>
  <c r="L22" i="4"/>
  <c r="L51" i="4"/>
  <c r="L12" i="4"/>
  <c r="L56" i="4"/>
  <c r="L18" i="4"/>
  <c r="L63" i="4"/>
  <c r="L35" i="4"/>
  <c r="L57" i="4"/>
  <c r="L20" i="4"/>
  <c r="L50" i="4"/>
  <c r="L11" i="4"/>
  <c r="L62" i="4"/>
  <c r="L34" i="4"/>
  <c r="L55" i="4"/>
  <c r="L17" i="4"/>
  <c r="L52" i="4"/>
  <c r="L14" i="4"/>
  <c r="E67" i="4"/>
  <c r="D67" i="4"/>
  <c r="K39" i="4"/>
  <c r="L39" i="4" l="1"/>
  <c r="L67" i="4"/>
  <c r="H50" i="4" s="1"/>
  <c r="H64" i="4" l="1"/>
  <c r="H65" i="4"/>
  <c r="H51" i="4"/>
  <c r="H56" i="4"/>
  <c r="H60" i="4"/>
  <c r="H55" i="4"/>
  <c r="H59" i="4"/>
  <c r="H57" i="4"/>
  <c r="H63" i="4"/>
  <c r="H58" i="4"/>
  <c r="H52" i="4"/>
  <c r="H53" i="4"/>
  <c r="H54" i="4"/>
  <c r="H66" i="4"/>
  <c r="H61" i="4"/>
  <c r="H62" i="4"/>
  <c r="I65" i="4"/>
  <c r="I54" i="4"/>
  <c r="I60" i="4"/>
  <c r="I57" i="4"/>
  <c r="I52" i="4"/>
  <c r="I64" i="4"/>
  <c r="I61" i="4"/>
  <c r="I51" i="4"/>
  <c r="I50" i="4"/>
  <c r="I53" i="4"/>
  <c r="I66" i="4"/>
  <c r="I56" i="4"/>
  <c r="I62" i="4"/>
  <c r="I59" i="4"/>
  <c r="I58" i="4"/>
  <c r="I63" i="4"/>
  <c r="I55" i="4"/>
  <c r="K54" i="4"/>
  <c r="K65" i="4"/>
  <c r="K60" i="4"/>
  <c r="K57" i="4"/>
  <c r="K52" i="4"/>
  <c r="K64" i="4"/>
  <c r="K61" i="4"/>
  <c r="K51" i="4"/>
  <c r="K50" i="4"/>
  <c r="K53" i="4"/>
  <c r="K66" i="4"/>
  <c r="K56" i="4"/>
  <c r="K62" i="4"/>
  <c r="K59" i="4"/>
  <c r="K58" i="4"/>
  <c r="K63" i="4"/>
  <c r="K55" i="4"/>
  <c r="D53" i="4"/>
  <c r="D60" i="4"/>
  <c r="D59" i="4"/>
  <c r="D62" i="4"/>
  <c r="D54" i="4"/>
  <c r="D61" i="4"/>
  <c r="D51" i="4"/>
  <c r="D63" i="4"/>
  <c r="D55" i="4"/>
  <c r="D66" i="4"/>
  <c r="D56" i="4"/>
  <c r="D57" i="4"/>
  <c r="D52" i="4"/>
  <c r="D58" i="4"/>
  <c r="D64" i="4"/>
  <c r="D50" i="4"/>
  <c r="D65" i="4"/>
  <c r="G66" i="4"/>
  <c r="G64" i="4"/>
  <c r="G62" i="4"/>
  <c r="J66" i="4"/>
  <c r="C66" i="4"/>
  <c r="J64" i="4"/>
  <c r="C64" i="4"/>
  <c r="J62" i="4"/>
  <c r="C62" i="4"/>
  <c r="F66" i="4"/>
  <c r="G65" i="4"/>
  <c r="F64" i="4"/>
  <c r="G63" i="4"/>
  <c r="F62" i="4"/>
  <c r="G61" i="4"/>
  <c r="E66" i="4"/>
  <c r="J65" i="4"/>
  <c r="C65" i="4"/>
  <c r="E64" i="4"/>
  <c r="J63" i="4"/>
  <c r="C63" i="4"/>
  <c r="E62" i="4"/>
  <c r="J61" i="4"/>
  <c r="C61" i="4"/>
  <c r="E63" i="4"/>
  <c r="F63" i="4"/>
  <c r="E61" i="4"/>
  <c r="F61" i="4"/>
  <c r="F65" i="4"/>
  <c r="E65" i="4"/>
  <c r="G60" i="4"/>
  <c r="G59" i="4"/>
  <c r="F58" i="4"/>
  <c r="G57" i="4"/>
  <c r="F56" i="4"/>
  <c r="G55" i="4"/>
  <c r="F54" i="4"/>
  <c r="G53" i="4"/>
  <c r="F52" i="4"/>
  <c r="G51" i="4"/>
  <c r="J60" i="4"/>
  <c r="C60" i="4"/>
  <c r="J59" i="4"/>
  <c r="C59" i="4"/>
  <c r="E58" i="4"/>
  <c r="J57" i="4"/>
  <c r="C57" i="4"/>
  <c r="E56" i="4"/>
  <c r="J55" i="4"/>
  <c r="C55" i="4"/>
  <c r="E54" i="4"/>
  <c r="J53" i="4"/>
  <c r="C53" i="4"/>
  <c r="E52" i="4"/>
  <c r="J51" i="4"/>
  <c r="F59" i="4"/>
  <c r="G58" i="4"/>
  <c r="F55" i="4"/>
  <c r="G54" i="4"/>
  <c r="F51" i="4"/>
  <c r="G50" i="4"/>
  <c r="F57" i="4"/>
  <c r="G56" i="4"/>
  <c r="F50" i="4"/>
  <c r="E60" i="4"/>
  <c r="J58" i="4"/>
  <c r="E59" i="4"/>
  <c r="J56" i="4"/>
  <c r="C56" i="4"/>
  <c r="E55" i="4"/>
  <c r="J52" i="4"/>
  <c r="C52" i="4"/>
  <c r="E51" i="4"/>
  <c r="J50" i="4"/>
  <c r="C50" i="4"/>
  <c r="F60" i="4"/>
  <c r="F53" i="4"/>
  <c r="G52" i="4"/>
  <c r="C58" i="4"/>
  <c r="E57" i="4"/>
  <c r="C51" i="4"/>
  <c r="C54" i="4"/>
  <c r="E53" i="4"/>
  <c r="J54" i="4"/>
  <c r="E50" i="4"/>
  <c r="M67" i="4" l="1"/>
</calcChain>
</file>

<file path=xl/sharedStrings.xml><?xml version="1.0" encoding="utf-8"?>
<sst xmlns="http://schemas.openxmlformats.org/spreadsheetml/2006/main" count="266" uniqueCount="78">
  <si>
    <t>Recaudación inicial [$]</t>
  </si>
  <si>
    <t>Recaudación final con FETR [$]</t>
  </si>
  <si>
    <t>Saldo MFFETR [$]</t>
  </si>
  <si>
    <t>CEC</t>
  </si>
  <si>
    <t>CGED</t>
  </si>
  <si>
    <t>CHILQUINTA</t>
  </si>
  <si>
    <t>CODINER</t>
  </si>
  <si>
    <t>COELCHA</t>
  </si>
  <si>
    <t>CONAFE</t>
  </si>
  <si>
    <t>COOPELAN</t>
  </si>
  <si>
    <t>COOPERSOL</t>
  </si>
  <si>
    <t>COOPREL</t>
  </si>
  <si>
    <t>COPELEC</t>
  </si>
  <si>
    <t>CRELL</t>
  </si>
  <si>
    <t>EDECSA</t>
  </si>
  <si>
    <t>EDELAYSÉN</t>
  </si>
  <si>
    <t>EDELMAG</t>
  </si>
  <si>
    <t>EEC</t>
  </si>
  <si>
    <t>EEPA</t>
  </si>
  <si>
    <t>ELECDA SIC</t>
  </si>
  <si>
    <t>ELECDA SING</t>
  </si>
  <si>
    <t>ELIQSA</t>
  </si>
  <si>
    <t>EMELARI</t>
  </si>
  <si>
    <t>EMELAT</t>
  </si>
  <si>
    <t>EMELCA</t>
  </si>
  <si>
    <t>FRONTEL</t>
  </si>
  <si>
    <t>LITORAL</t>
  </si>
  <si>
    <t>LUZ ANDES</t>
  </si>
  <si>
    <t>LUZ OSORNO</t>
  </si>
  <si>
    <t>LUZLINARES</t>
  </si>
  <si>
    <t>LUZPARRAL</t>
  </si>
  <si>
    <t>SAESA</t>
  </si>
  <si>
    <t>SOCOEPA</t>
  </si>
  <si>
    <t>TIL TIL</t>
  </si>
  <si>
    <t>Total general</t>
  </si>
  <si>
    <t>Distribuidora</t>
  </si>
  <si>
    <t>VDFETR</t>
  </si>
  <si>
    <t>VBFETR</t>
  </si>
  <si>
    <t>Monto a Transferir</t>
  </si>
  <si>
    <t>[$]</t>
  </si>
  <si>
    <t>VTDFETR</t>
  </si>
  <si>
    <t>VTBFETR</t>
  </si>
  <si>
    <t>Saldo</t>
  </si>
  <si>
    <t>Pagan</t>
  </si>
  <si>
    <t>Reciben</t>
  </si>
  <si>
    <t>Total</t>
  </si>
  <si>
    <t>ENEL DISTRIBUCIÓN</t>
  </si>
  <si>
    <t>Monto Transferir</t>
  </si>
  <si>
    <t>Cuadro de Pagos Reliquidación Mecanismo ETR (montos en $)</t>
  </si>
  <si>
    <t>Saldo Anterior [$]</t>
  </si>
  <si>
    <t>Reliquidación de Diferencias por Aplicación de FETR</t>
  </si>
  <si>
    <t>Referencia Mensual</t>
  </si>
  <si>
    <t>FechaFactAño</t>
  </si>
  <si>
    <t>FechaFactMes</t>
  </si>
  <si>
    <t>Valores</t>
  </si>
  <si>
    <t>2018</t>
  </si>
  <si>
    <t>ago</t>
  </si>
  <si>
    <t>Monto $</t>
  </si>
  <si>
    <t>saldo original (abril 2018)</t>
  </si>
  <si>
    <t>Cuota descontada</t>
  </si>
  <si>
    <t>Saldo ajuste corregido</t>
  </si>
  <si>
    <t>cuota descontada abril</t>
  </si>
  <si>
    <t>cuota descontada mayo</t>
  </si>
  <si>
    <t>saldo corregido (abril 2018)</t>
  </si>
  <si>
    <t>cuota descontada junio</t>
  </si>
  <si>
    <t>cuota descontada julio</t>
  </si>
  <si>
    <t>Mes</t>
  </si>
  <si>
    <t>Variación IPC</t>
  </si>
  <si>
    <t>Valor cuota (6 cuotas)</t>
  </si>
  <si>
    <t>Pago Agosto</t>
  </si>
  <si>
    <t>No considera corrección PNP 12T/2017</t>
  </si>
  <si>
    <t>Pagos realizados</t>
  </si>
  <si>
    <t>Periodo</t>
  </si>
  <si>
    <t>oct</t>
  </si>
  <si>
    <t>Pago septiembre</t>
  </si>
  <si>
    <t>valores actualizados al 01-10-2018</t>
  </si>
  <si>
    <t>Remanente al 01-10-2018</t>
  </si>
  <si>
    <t>CGE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</si>
</sst>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4" formatCode="_-&quot;$&quot;* #,##0.00_-;\-&quot;$&quot;* #,##0.00_-;_-&quot;$&quot;* &quot;-&quot;??_-;_-@_-"/>
    <numFmt numFmtId="164" formatCode="0.00000"/>
    <numFmt numFmtId="165" formatCode="#,##0_ ;[Red]\-#,##0\ "/>
    <numFmt numFmtId="166" formatCode="[$-C0A]mmmm\-yy;@"/>
    <numFmt numFmtId="167" formatCode="&quot;Tasa: &quot;0.000%"/>
    <numFmt numFmtId="168" formatCode="_-&quot;$&quot;* #,##0_-;\-&quot;$&quot;* #,##0_-;_-&quot;$&quot;* &quot;-&quot;??_-;_-@_-"/>
    <numFmt numFmtId="169" formatCode="0.0000%"/>
  </numFmts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color rgb="FFFF9999"/>
      <name val="Calibri"/>
      <family val="2"/>
      <scheme val="minor"/>
    </font>
    <font>
      <b/>
      <sz val="10"/>
      <name val="Calibri"/>
      <family val="2"/>
    </font>
    <font>
      <sz val="11"/>
      <color theme="0" tint="-0.14999847407452621"/>
      <name val="Calibri"/>
      <family val="2"/>
      <scheme val="minor"/>
    </font>
    <font>
      <b/>
      <sz val="11"/>
      <name val="Calibri"/>
      <family val="2"/>
    </font>
    <font>
      <sz val="11"/>
      <color rgb="FFFF7C80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Calibri"/>
      <family val="2"/>
    </font>
    <font>
      <sz val="11"/>
      <color theme="1"/>
      <name val="Calibri"/>
      <family val="2"/>
    </font>
    <font>
      <sz val="11"/>
      <color rgb="FFFF0000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theme="4" tint="0.39997558519241921"/>
      </bottom>
      <diagonal/>
    </border>
    <border>
      <left/>
      <right/>
      <top style="thin">
        <color theme="4" tint="0.3999755851924192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9" fontId="8" fillId="0" borderId="0" applyFont="0" applyFill="0" applyBorder="0" applyAlignment="0" applyProtection="0"/>
    <xf numFmtId="0" fontId="9" fillId="0" borderId="0"/>
    <xf numFmtId="44" fontId="8" fillId="0" borderId="0" applyFont="0" applyFill="0" applyBorder="0" applyAlignment="0" applyProtection="0"/>
  </cellStyleXfs>
  <cellXfs count="52">
    <xf numFmtId="0" fontId="0" fillId="0" borderId="0" xfId="0"/>
    <xf numFmtId="17" fontId="2" fillId="2" borderId="0" xfId="0" applyNumberFormat="1" applyFont="1" applyFill="1"/>
    <xf numFmtId="164" fontId="3" fillId="0" borderId="0" xfId="0" applyNumberFormat="1" applyFont="1"/>
    <xf numFmtId="165" fontId="0" fillId="0" borderId="0" xfId="0" applyNumberFormat="1"/>
    <xf numFmtId="0" fontId="1" fillId="3" borderId="1" xfId="0" applyFont="1" applyFill="1" applyBorder="1"/>
    <xf numFmtId="165" fontId="1" fillId="3" borderId="2" xfId="0" applyNumberFormat="1" applyFont="1" applyFill="1" applyBorder="1"/>
    <xf numFmtId="0" fontId="1" fillId="0" borderId="0" xfId="0" applyFont="1"/>
    <xf numFmtId="165" fontId="0" fillId="0" borderId="3" xfId="0" applyNumberFormat="1" applyBorder="1"/>
    <xf numFmtId="0" fontId="1" fillId="0" borderId="3" xfId="0" applyFont="1" applyFill="1" applyBorder="1" applyAlignment="1">
      <alignment horizontal="center"/>
    </xf>
    <xf numFmtId="17" fontId="1" fillId="0" borderId="3" xfId="0" applyNumberFormat="1" applyFont="1" applyFill="1" applyBorder="1" applyAlignment="1">
      <alignment horizontal="center"/>
    </xf>
    <xf numFmtId="0" fontId="0" fillId="0" borderId="3" xfId="0" applyFill="1" applyBorder="1" applyAlignment="1">
      <alignment horizontal="left"/>
    </xf>
    <xf numFmtId="165" fontId="0" fillId="0" borderId="3" xfId="0" applyNumberFormat="1" applyFill="1" applyBorder="1"/>
    <xf numFmtId="0" fontId="1" fillId="0" borderId="3" xfId="0" applyFont="1" applyFill="1" applyBorder="1" applyAlignment="1">
      <alignment horizontal="left"/>
    </xf>
    <xf numFmtId="165" fontId="1" fillId="0" borderId="3" xfId="0" applyNumberFormat="1" applyFont="1" applyFill="1" applyBorder="1"/>
    <xf numFmtId="0" fontId="1" fillId="0" borderId="3" xfId="0" applyFont="1" applyBorder="1"/>
    <xf numFmtId="3" fontId="4" fillId="0" borderId="6" xfId="0" applyNumberFormat="1" applyFont="1" applyFill="1" applyBorder="1" applyAlignment="1">
      <alignment vertical="center"/>
    </xf>
    <xf numFmtId="3" fontId="4" fillId="0" borderId="7" xfId="0" applyNumberFormat="1" applyFont="1" applyFill="1" applyBorder="1" applyAlignment="1">
      <alignment horizontal="center"/>
    </xf>
    <xf numFmtId="0" fontId="4" fillId="0" borderId="7" xfId="0" applyFont="1" applyFill="1" applyBorder="1" applyAlignment="1">
      <alignment horizontal="center"/>
    </xf>
    <xf numFmtId="3" fontId="4" fillId="0" borderId="3" xfId="0" applyNumberFormat="1" applyFont="1" applyFill="1" applyBorder="1" applyAlignment="1">
      <alignment horizontal="left"/>
    </xf>
    <xf numFmtId="0" fontId="5" fillId="0" borderId="0" xfId="0" applyFont="1"/>
    <xf numFmtId="3" fontId="0" fillId="2" borderId="7" xfId="0" applyNumberFormat="1" applyFont="1" applyFill="1" applyBorder="1" applyAlignment="1"/>
    <xf numFmtId="166" fontId="1" fillId="0" borderId="0" xfId="0" applyNumberFormat="1" applyFont="1" applyAlignment="1">
      <alignment horizontal="center"/>
    </xf>
    <xf numFmtId="3" fontId="6" fillId="0" borderId="5" xfId="0" applyNumberFormat="1" applyFont="1" applyFill="1" applyBorder="1" applyAlignment="1">
      <alignment vertical="center"/>
    </xf>
    <xf numFmtId="0" fontId="1" fillId="0" borderId="0" xfId="0" applyFont="1" applyAlignment="1">
      <alignment horizontal="left"/>
    </xf>
    <xf numFmtId="0" fontId="6" fillId="0" borderId="3" xfId="0" applyFont="1" applyFill="1" applyBorder="1" applyAlignment="1">
      <alignment horizontal="center"/>
    </xf>
    <xf numFmtId="3" fontId="6" fillId="0" borderId="3" xfId="0" applyNumberFormat="1" applyFont="1" applyFill="1" applyBorder="1" applyAlignment="1"/>
    <xf numFmtId="0" fontId="0" fillId="0" borderId="0" xfId="0" applyFont="1"/>
    <xf numFmtId="3" fontId="6" fillId="0" borderId="4" xfId="0" applyNumberFormat="1" applyFont="1" applyFill="1" applyBorder="1" applyAlignment="1">
      <alignment horizontal="center" vertical="center"/>
    </xf>
    <xf numFmtId="3" fontId="1" fillId="0" borderId="7" xfId="0" applyNumberFormat="1" applyFont="1" applyFill="1" applyBorder="1" applyAlignment="1">
      <alignment vertical="center"/>
    </xf>
    <xf numFmtId="3" fontId="7" fillId="0" borderId="0" xfId="0" applyNumberFormat="1" applyFont="1"/>
    <xf numFmtId="0" fontId="6" fillId="0" borderId="3" xfId="0" applyFont="1" applyFill="1" applyBorder="1" applyAlignment="1">
      <alignment horizontal="center" vertical="center"/>
    </xf>
    <xf numFmtId="0" fontId="1" fillId="3" borderId="0" xfId="0" applyFont="1" applyFill="1"/>
    <xf numFmtId="1" fontId="1" fillId="3" borderId="0" xfId="0" applyNumberFormat="1" applyFont="1" applyFill="1"/>
    <xf numFmtId="0" fontId="1" fillId="3" borderId="2" xfId="0" applyFont="1" applyFill="1" applyBorder="1"/>
    <xf numFmtId="167" fontId="1" fillId="0" borderId="0" xfId="1" applyNumberFormat="1" applyFont="1" applyAlignment="1">
      <alignment horizontal="center"/>
    </xf>
    <xf numFmtId="165" fontId="10" fillId="0" borderId="3" xfId="0" applyNumberFormat="1" applyFont="1" applyFill="1" applyBorder="1"/>
    <xf numFmtId="0" fontId="0" fillId="0" borderId="0" xfId="0" applyAlignment="1">
      <alignment horizontal="center" vertical="center"/>
    </xf>
    <xf numFmtId="0" fontId="0" fillId="0" borderId="3" xfId="0" applyBorder="1"/>
    <xf numFmtId="168" fontId="0" fillId="0" borderId="3" xfId="3" applyNumberFormat="1" applyFont="1" applyBorder="1"/>
    <xf numFmtId="168" fontId="11" fillId="0" borderId="3" xfId="3" applyNumberFormat="1" applyFont="1" applyFill="1" applyBorder="1"/>
    <xf numFmtId="168" fontId="0" fillId="2" borderId="3" xfId="3" applyNumberFormat="1" applyFont="1" applyFill="1" applyBorder="1"/>
    <xf numFmtId="168" fontId="0" fillId="0" borderId="3" xfId="3" applyNumberFormat="1" applyFont="1" applyFill="1" applyBorder="1"/>
    <xf numFmtId="168" fontId="1" fillId="0" borderId="3" xfId="3" applyNumberFormat="1" applyFont="1" applyBorder="1"/>
    <xf numFmtId="0" fontId="1" fillId="0" borderId="0" xfId="0" applyFont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17" fontId="1" fillId="0" borderId="3" xfId="0" applyNumberFormat="1" applyFont="1" applyFill="1" applyBorder="1" applyAlignment="1">
      <alignment horizontal="center" vertical="center"/>
    </xf>
    <xf numFmtId="169" fontId="0" fillId="4" borderId="3" xfId="0" applyNumberFormat="1" applyFill="1" applyBorder="1" applyAlignment="1">
      <alignment horizontal="center" vertical="center"/>
    </xf>
    <xf numFmtId="168" fontId="1" fillId="0" borderId="0" xfId="0" applyNumberFormat="1" applyFont="1"/>
    <xf numFmtId="3" fontId="4" fillId="0" borderId="3" xfId="0" applyNumberFormat="1" applyFont="1" applyFill="1" applyBorder="1" applyAlignment="1">
      <alignment horizontal="center"/>
    </xf>
    <xf numFmtId="0" fontId="0" fillId="0" borderId="8" xfId="0" applyBorder="1"/>
    <xf numFmtId="0" fontId="0" fillId="0" borderId="9" xfId="0" applyFill="1" applyBorder="1"/>
    <xf numFmtId="0" fontId="0" fillId="0" borderId="6" xfId="0" applyBorder="1"/>
  </cellXfs>
  <cellStyles count="4">
    <cellStyle name="Moneda" xfId="3" builtinId="4"/>
    <cellStyle name="Normal" xfId="0" builtinId="0"/>
    <cellStyle name="Normal 2" xfId="2" xr:uid="{00000000-0005-0000-0000-000001000000}"/>
    <cellStyle name="Porcentaje" xfId="1" builtinId="5"/>
  </cellStyles>
  <dxfs count="0"/>
  <tableStyles count="0" defaultTableStyle="TableStyleMedium2" defaultPivotStyle="PivotStyleLight16"/>
  <colors>
    <mruColors>
      <color rgb="FFFFFFCC"/>
      <color rgb="FFFF7C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N67"/>
  <sheetViews>
    <sheetView showGridLines="0" tabSelected="1" topLeftCell="A37" zoomScale="70" zoomScaleNormal="70" workbookViewId="0">
      <selection activeCell="H70" sqref="H70"/>
    </sheetView>
  </sheetViews>
  <sheetFormatPr baseColWidth="10" defaultRowHeight="14.4" x14ac:dyDescent="0.3"/>
  <cols>
    <col min="1" max="1" width="26.296875" customWidth="1"/>
    <col min="2" max="2" width="25.19921875" customWidth="1"/>
    <col min="3" max="3" width="16.8984375" customWidth="1"/>
    <col min="4" max="4" width="20" customWidth="1"/>
    <col min="5" max="5" width="23.5" customWidth="1"/>
    <col min="6" max="6" width="17.796875" customWidth="1"/>
    <col min="7" max="7" width="19.3984375" customWidth="1"/>
    <col min="8" max="8" width="17.796875" customWidth="1"/>
    <col min="9" max="9" width="17.5" bestFit="1" customWidth="1"/>
    <col min="10" max="10" width="16.69921875" customWidth="1"/>
    <col min="11" max="11" width="16.796875" customWidth="1"/>
    <col min="12" max="12" width="16.69921875" bestFit="1" customWidth="1"/>
    <col min="13" max="13" width="13.796875" hidden="1" customWidth="1"/>
    <col min="14" max="14" width="16.796875" customWidth="1"/>
    <col min="15" max="15" width="13.5" bestFit="1" customWidth="1"/>
  </cols>
  <sheetData>
    <row r="2" spans="1:14" x14ac:dyDescent="0.3">
      <c r="B2" s="6" t="s">
        <v>50</v>
      </c>
    </row>
    <row r="3" spans="1:14" x14ac:dyDescent="0.3">
      <c r="B3" s="21">
        <v>43374</v>
      </c>
      <c r="I3" s="36"/>
      <c r="J3" s="36"/>
    </row>
    <row r="4" spans="1:14" x14ac:dyDescent="0.3">
      <c r="B4" s="34">
        <v>3.6091992613731124E-3</v>
      </c>
    </row>
    <row r="5" spans="1:14" x14ac:dyDescent="0.3">
      <c r="C5" s="14" t="s">
        <v>49</v>
      </c>
      <c r="I5" s="9" t="s">
        <v>36</v>
      </c>
      <c r="J5" s="9" t="s">
        <v>37</v>
      </c>
      <c r="K5" s="9" t="s">
        <v>38</v>
      </c>
      <c r="L5" s="9" t="s">
        <v>42</v>
      </c>
    </row>
    <row r="6" spans="1:14" x14ac:dyDescent="0.3">
      <c r="B6" s="8" t="s">
        <v>35</v>
      </c>
      <c r="C6" s="8"/>
      <c r="D6" s="9">
        <f>+'1807'!A1</f>
        <v>43282</v>
      </c>
      <c r="E6" s="9">
        <f>+'1808'!A1</f>
        <v>43313</v>
      </c>
      <c r="F6" s="9">
        <f>+'1809'!A1</f>
        <v>43344</v>
      </c>
      <c r="G6" s="9">
        <f>+'1810'!A1</f>
        <v>43374</v>
      </c>
      <c r="H6" s="9" t="s">
        <v>72</v>
      </c>
      <c r="I6" s="9" t="s">
        <v>39</v>
      </c>
      <c r="J6" s="9" t="s">
        <v>39</v>
      </c>
      <c r="K6" s="9" t="s">
        <v>39</v>
      </c>
      <c r="L6" s="9" t="s">
        <v>39</v>
      </c>
      <c r="M6" t="s">
        <v>51</v>
      </c>
    </row>
    <row r="7" spans="1:14" x14ac:dyDescent="0.3">
      <c r="A7" s="19" t="s">
        <v>3</v>
      </c>
      <c r="B7" s="10" t="s">
        <v>3</v>
      </c>
      <c r="C7" s="35">
        <v>0</v>
      </c>
      <c r="D7" s="11" t="str">
        <f>+IFERROR(VLOOKUP(B7,'1807'!$A$4:$D$27,4,0),"")</f>
        <v/>
      </c>
      <c r="E7" s="11" t="str">
        <f>+IFERROR(VLOOKUP(B7,'1808'!$A$4:$D$30,4,0),"")</f>
        <v/>
      </c>
      <c r="F7" s="11">
        <f>+IFERROR(VLOOKUP(B7,'1809'!$A$4:$D$39,4,0),"")</f>
        <v>9204471.283808006</v>
      </c>
      <c r="G7" s="11" t="str">
        <f>+IFERROR(VLOOKUP(B7,'1810'!$A$4:$D$40,4,0),"")</f>
        <v/>
      </c>
      <c r="H7" s="11">
        <f t="shared" ref="H7:H38" si="0">+C7*(1+$B$4)+SUM(D7:G7)</f>
        <v>9204471.283808006</v>
      </c>
      <c r="I7" s="11">
        <f t="shared" ref="I7:I38" si="1">+IF(H7&gt;=0,H7,0)</f>
        <v>9204471.283808006</v>
      </c>
      <c r="J7" s="11">
        <f t="shared" ref="J7:J38" si="2">+IF(H7&lt;0,-H7,0)</f>
        <v>0</v>
      </c>
      <c r="K7" s="11">
        <f t="shared" ref="K7:K38" si="3">IF(OR($I$39=0,$J$39=0),0,(J7/$J$39-I7/$I$39)*$I$43)</f>
        <v>-9204471.283808006</v>
      </c>
      <c r="L7" s="11">
        <f>+K7+H7</f>
        <v>0</v>
      </c>
      <c r="M7" s="11"/>
      <c r="N7" s="3"/>
    </row>
    <row r="8" spans="1:14" x14ac:dyDescent="0.3">
      <c r="A8" s="19" t="s">
        <v>77</v>
      </c>
      <c r="B8" s="10" t="s">
        <v>4</v>
      </c>
      <c r="C8" s="35">
        <v>0</v>
      </c>
      <c r="D8" s="11">
        <f>+IFERROR(VLOOKUP(B8,'1807'!$A$4:$D$27,4,0),"")</f>
        <v>3930453.9627991184</v>
      </c>
      <c r="E8" s="11">
        <f>+IFERROR(VLOOKUP(B8,'1808'!$A$4:$D$30,4,0),"")</f>
        <v>75375943.652676418</v>
      </c>
      <c r="F8" s="11">
        <f>+IFERROR(VLOOKUP(B8,'1809'!$A$4:$D$39,4,0),"")</f>
        <v>728422171.68686604</v>
      </c>
      <c r="G8" s="11">
        <f>+IFERROR(VLOOKUP(B8,'1810'!$A$4:$D$40,4,0),"")</f>
        <v>280366398.55309147</v>
      </c>
      <c r="H8" s="11">
        <f t="shared" si="0"/>
        <v>1088094967.855433</v>
      </c>
      <c r="I8" s="11">
        <f t="shared" si="1"/>
        <v>1088094967.855433</v>
      </c>
      <c r="J8" s="11">
        <f t="shared" si="2"/>
        <v>0</v>
      </c>
      <c r="K8" s="11">
        <f t="shared" si="3"/>
        <v>-1088094967.855433</v>
      </c>
      <c r="L8" s="11">
        <f t="shared" ref="L8:L38" si="4">+K8+H8</f>
        <v>0</v>
      </c>
      <c r="M8" s="11"/>
      <c r="N8" s="3"/>
    </row>
    <row r="9" spans="1:14" x14ac:dyDescent="0.3">
      <c r="A9" s="19" t="s">
        <v>46</v>
      </c>
      <c r="B9" s="10" t="s">
        <v>46</v>
      </c>
      <c r="C9" s="35">
        <v>369384774.10762763</v>
      </c>
      <c r="D9" s="11" t="str">
        <f>+IFERROR(VLOOKUP(B9,'1807'!$A$4:$D$27,4,0),"")</f>
        <v/>
      </c>
      <c r="E9" s="11">
        <f>+IFERROR(VLOOKUP(B9,'1808'!$A$4:$D$30,4,0),"")</f>
        <v>5644382.231772366</v>
      </c>
      <c r="F9" s="11">
        <f>+IFERROR(VLOOKUP(B9,'1809'!$A$4:$D$39,4,0),"")</f>
        <v>892600483.16004062</v>
      </c>
      <c r="G9" s="11">
        <f>+IFERROR(VLOOKUP(B9,'1810'!$A$4:$D$40,4,0),"")</f>
        <v>435043734.11654902</v>
      </c>
      <c r="H9" s="11">
        <f t="shared" si="0"/>
        <v>1704006556.8698614</v>
      </c>
      <c r="I9" s="11">
        <f t="shared" si="1"/>
        <v>1704006556.8698614</v>
      </c>
      <c r="J9" s="11">
        <f t="shared" si="2"/>
        <v>0</v>
      </c>
      <c r="K9" s="11">
        <f t="shared" si="3"/>
        <v>-1704006556.8698614</v>
      </c>
      <c r="L9" s="11">
        <f t="shared" si="4"/>
        <v>0</v>
      </c>
      <c r="M9" s="11">
        <v>1000000000</v>
      </c>
      <c r="N9" s="3"/>
    </row>
    <row r="10" spans="1:14" x14ac:dyDescent="0.3">
      <c r="A10" s="19" t="s">
        <v>5</v>
      </c>
      <c r="B10" s="10" t="s">
        <v>5</v>
      </c>
      <c r="C10" s="35">
        <v>0</v>
      </c>
      <c r="D10" s="11">
        <f>+IFERROR(VLOOKUP(B10,'1807'!$A$4:$D$27,4,0),"")</f>
        <v>3663467.7786196643</v>
      </c>
      <c r="E10" s="11">
        <f>+IFERROR(VLOOKUP(B10,'1808'!$A$4:$D$30,4,0),"")</f>
        <v>15346883.536927689</v>
      </c>
      <c r="F10" s="11">
        <f>+IFERROR(VLOOKUP(B10,'1809'!$A$4:$D$39,4,0),"")</f>
        <v>140789060.29687154</v>
      </c>
      <c r="G10" s="11">
        <f>+IFERROR(VLOOKUP(B10,'1810'!$A$4:$D$40,4,0),"")</f>
        <v>25113401.031490467</v>
      </c>
      <c r="H10" s="11">
        <f t="shared" si="0"/>
        <v>184912812.64390936</v>
      </c>
      <c r="I10" s="11">
        <f t="shared" si="1"/>
        <v>184912812.64390936</v>
      </c>
      <c r="J10" s="11">
        <f t="shared" si="2"/>
        <v>0</v>
      </c>
      <c r="K10" s="11">
        <f t="shared" si="3"/>
        <v>-184912812.64390936</v>
      </c>
      <c r="L10" s="11">
        <f t="shared" si="4"/>
        <v>0</v>
      </c>
      <c r="M10" s="11"/>
      <c r="N10" s="3"/>
    </row>
    <row r="11" spans="1:14" x14ac:dyDescent="0.3">
      <c r="A11" s="19" t="s">
        <v>6</v>
      </c>
      <c r="B11" s="10" t="s">
        <v>6</v>
      </c>
      <c r="C11" s="35">
        <v>-28454793.264806837</v>
      </c>
      <c r="D11" s="11" t="str">
        <f>+IFERROR(VLOOKUP(B11,'1807'!$A$4:$D$27,4,0),"")</f>
        <v/>
      </c>
      <c r="E11" s="11" t="str">
        <f>+IFERROR(VLOOKUP(B11,'1808'!$A$4:$D$30,4,0),"")</f>
        <v/>
      </c>
      <c r="F11" s="11">
        <f>+IFERROR(VLOOKUP(B11,'1809'!$A$4:$D$39,4,0),"")</f>
        <v>-16777117.460581092</v>
      </c>
      <c r="G11" s="11">
        <f>+IFERROR(VLOOKUP(B11,'1810'!$A$4:$D$40,4,0),"")</f>
        <v>-24557542.110142171</v>
      </c>
      <c r="H11" s="11">
        <f t="shared" si="0"/>
        <v>-69892151.854363978</v>
      </c>
      <c r="I11" s="11">
        <f t="shared" si="1"/>
        <v>0</v>
      </c>
      <c r="J11" s="11">
        <f t="shared" si="2"/>
        <v>69892151.854363978</v>
      </c>
      <c r="K11" s="11">
        <f t="shared" si="3"/>
        <v>69082941.584185958</v>
      </c>
      <c r="L11" s="11">
        <f t="shared" si="4"/>
        <v>-809210.27017802</v>
      </c>
      <c r="M11" s="11"/>
      <c r="N11" s="3"/>
    </row>
    <row r="12" spans="1:14" x14ac:dyDescent="0.3">
      <c r="A12" s="19" t="s">
        <v>7</v>
      </c>
      <c r="B12" s="10" t="s">
        <v>7</v>
      </c>
      <c r="C12" s="35">
        <v>-35094914.25245358</v>
      </c>
      <c r="D12" s="11" t="str">
        <f>+IFERROR(VLOOKUP(B12,'1807'!$A$4:$D$27,4,0),"")</f>
        <v/>
      </c>
      <c r="E12" s="11" t="str">
        <f>+IFERROR(VLOOKUP(B12,'1808'!$A$4:$D$30,4,0),"")</f>
        <v/>
      </c>
      <c r="F12" s="11">
        <f>+IFERROR(VLOOKUP(B12,'1809'!$A$4:$D$39,4,0),"")</f>
        <v>-57581360.587539636</v>
      </c>
      <c r="G12" s="11" t="str">
        <f>+IFERROR(VLOOKUP(B12,'1810'!$A$4:$D$40,4,0),"")</f>
        <v/>
      </c>
      <c r="H12" s="11">
        <f t="shared" si="0"/>
        <v>-92802939.37859112</v>
      </c>
      <c r="I12" s="11">
        <f t="shared" si="1"/>
        <v>0</v>
      </c>
      <c r="J12" s="11">
        <f t="shared" si="2"/>
        <v>92802939.37859112</v>
      </c>
      <c r="K12" s="11">
        <f t="shared" si="3"/>
        <v>91728468.359236255</v>
      </c>
      <c r="L12" s="11">
        <f t="shared" si="4"/>
        <v>-1074471.019354865</v>
      </c>
      <c r="M12" s="11">
        <v>-60000000</v>
      </c>
      <c r="N12" s="3"/>
    </row>
    <row r="13" spans="1:14" x14ac:dyDescent="0.3">
      <c r="A13" s="19" t="s">
        <v>77</v>
      </c>
      <c r="B13" s="10" t="s">
        <v>8</v>
      </c>
      <c r="C13" s="35">
        <v>0</v>
      </c>
      <c r="D13" s="11">
        <f>+IFERROR(VLOOKUP(B13,'1807'!$A$4:$D$27,4,0),"")</f>
        <v>544135.33568742068</v>
      </c>
      <c r="E13" s="11">
        <f>+IFERROR(VLOOKUP(B13,'1808'!$A$4:$D$30,4,0),"")</f>
        <v>10668707.856343128</v>
      </c>
      <c r="F13" s="11">
        <f>+IFERROR(VLOOKUP(B13,'1809'!$A$4:$D$39,4,0),"")</f>
        <v>87356164.598545656</v>
      </c>
      <c r="G13" s="11">
        <f>+IFERROR(VLOOKUP(B13,'1810'!$A$4:$D$40,4,0),"")</f>
        <v>51356861.332925096</v>
      </c>
      <c r="H13" s="11">
        <f t="shared" si="0"/>
        <v>149925869.1235013</v>
      </c>
      <c r="I13" s="11">
        <f t="shared" si="1"/>
        <v>149925869.1235013</v>
      </c>
      <c r="J13" s="11">
        <f t="shared" si="2"/>
        <v>0</v>
      </c>
      <c r="K13" s="11">
        <f t="shared" si="3"/>
        <v>-149925869.1235013</v>
      </c>
      <c r="L13" s="11">
        <f t="shared" si="4"/>
        <v>0</v>
      </c>
      <c r="M13" s="11"/>
      <c r="N13" s="3"/>
    </row>
    <row r="14" spans="1:14" x14ac:dyDescent="0.3">
      <c r="A14" s="19" t="s">
        <v>9</v>
      </c>
      <c r="B14" s="10" t="s">
        <v>9</v>
      </c>
      <c r="C14" s="35">
        <v>-70450558.472088575</v>
      </c>
      <c r="D14" s="11" t="str">
        <f>+IFERROR(VLOOKUP(B14,'1807'!$A$4:$D$27,4,0),"")</f>
        <v/>
      </c>
      <c r="E14" s="11" t="str">
        <f>+IFERROR(VLOOKUP(B14,'1808'!$A$4:$D$30,4,0),"")</f>
        <v/>
      </c>
      <c r="F14" s="11">
        <f>+IFERROR(VLOOKUP(B14,'1809'!$A$4:$D$39,4,0),"")</f>
        <v>-122408100.75744347</v>
      </c>
      <c r="G14" s="11" t="str">
        <f>+IFERROR(VLOOKUP(B14,'1810'!$A$4:$D$40,4,0),"")</f>
        <v/>
      </c>
      <c r="H14" s="11">
        <f t="shared" si="0"/>
        <v>-193112929.33313283</v>
      </c>
      <c r="I14" s="11">
        <f t="shared" si="1"/>
        <v>0</v>
      </c>
      <c r="J14" s="11">
        <f t="shared" si="2"/>
        <v>193112929.33313283</v>
      </c>
      <c r="K14" s="11">
        <f t="shared" si="3"/>
        <v>190877070.7771371</v>
      </c>
      <c r="L14" s="11">
        <f t="shared" si="4"/>
        <v>-2235858.5559957325</v>
      </c>
      <c r="M14" s="11"/>
      <c r="N14" s="3"/>
    </row>
    <row r="15" spans="1:14" x14ac:dyDescent="0.3">
      <c r="A15" s="19" t="s">
        <v>10</v>
      </c>
      <c r="B15" s="10" t="s">
        <v>10</v>
      </c>
      <c r="C15" s="35">
        <v>-2357571.257097966</v>
      </c>
      <c r="D15" s="11" t="str">
        <f>+IFERROR(VLOOKUP(B15,'1807'!$A$4:$D$27,4,0),"")</f>
        <v/>
      </c>
      <c r="E15" s="11" t="str">
        <f>+IFERROR(VLOOKUP(B15,'1808'!$A$4:$D$30,4,0),"")</f>
        <v/>
      </c>
      <c r="F15" s="11">
        <f>+IFERROR(VLOOKUP(B15,'1809'!$A$4:$D$39,4,0),"")</f>
        <v>-3971736.3418118628</v>
      </c>
      <c r="G15" s="11" t="str">
        <f>+IFERROR(VLOOKUP(B15,'1810'!$A$4:$D$40,4,0),"")</f>
        <v/>
      </c>
      <c r="H15" s="11">
        <f t="shared" si="0"/>
        <v>-6337816.5433495808</v>
      </c>
      <c r="I15" s="11">
        <f t="shared" si="1"/>
        <v>0</v>
      </c>
      <c r="J15" s="11">
        <f t="shared" si="2"/>
        <v>6337816.5433495808</v>
      </c>
      <c r="K15" s="11">
        <f t="shared" si="3"/>
        <v>6264437.3998933993</v>
      </c>
      <c r="L15" s="11">
        <f t="shared" si="4"/>
        <v>-73379.143456181511</v>
      </c>
      <c r="M15" s="11">
        <v>-3000000</v>
      </c>
      <c r="N15" s="3"/>
    </row>
    <row r="16" spans="1:14" x14ac:dyDescent="0.3">
      <c r="A16" s="19" t="s">
        <v>11</v>
      </c>
      <c r="B16" s="10" t="s">
        <v>11</v>
      </c>
      <c r="C16" s="35">
        <v>-27369427.544269323</v>
      </c>
      <c r="D16" s="11" t="str">
        <f>+IFERROR(VLOOKUP(B16,'1807'!$A$4:$D$27,4,0),"")</f>
        <v/>
      </c>
      <c r="E16" s="11" t="str">
        <f>+IFERROR(VLOOKUP(B16,'1808'!$A$4:$D$30,4,0),"")</f>
        <v/>
      </c>
      <c r="F16" s="11" t="str">
        <f>+IFERROR(VLOOKUP(B16,'1809'!$A$4:$D$39,4,0),"")</f>
        <v/>
      </c>
      <c r="G16" s="11">
        <f>+IFERROR(VLOOKUP(B16,'1810'!$A$4:$D$40,4,0),"")</f>
        <v>-49648842.901211374</v>
      </c>
      <c r="H16" s="11">
        <f t="shared" si="0"/>
        <v>-77117052.163157672</v>
      </c>
      <c r="I16" s="11">
        <f t="shared" si="1"/>
        <v>0</v>
      </c>
      <c r="J16" s="11">
        <f t="shared" si="2"/>
        <v>77117052.163157672</v>
      </c>
      <c r="K16" s="11">
        <f t="shared" si="3"/>
        <v>76224192.107191533</v>
      </c>
      <c r="L16" s="11">
        <f t="shared" si="4"/>
        <v>-892860.05596613884</v>
      </c>
      <c r="M16" s="11">
        <v>-45000000</v>
      </c>
      <c r="N16" s="3"/>
    </row>
    <row r="17" spans="1:14" x14ac:dyDescent="0.3">
      <c r="A17" s="19" t="s">
        <v>12</v>
      </c>
      <c r="B17" s="10" t="s">
        <v>12</v>
      </c>
      <c r="C17" s="35">
        <v>-139342460.72553164</v>
      </c>
      <c r="D17" s="11" t="str">
        <f>+IFERROR(VLOOKUP(B17,'1807'!$A$4:$D$27,4,0),"")</f>
        <v/>
      </c>
      <c r="E17" s="11">
        <f>+IFERROR(VLOOKUP(B17,'1808'!$A$4:$D$30,4,0),"")</f>
        <v>-50092235.874475218</v>
      </c>
      <c r="F17" s="11">
        <f>+IFERROR(VLOOKUP(B17,'1809'!$A$4:$D$39,4,0),"")</f>
        <v>-211469619.95744526</v>
      </c>
      <c r="G17" s="11">
        <f>+IFERROR(VLOOKUP(B17,'1810'!$A$4:$D$40,4,0),"")</f>
        <v>8811645.4336658195</v>
      </c>
      <c r="H17" s="11">
        <f t="shared" si="0"/>
        <v>-392595585.83011484</v>
      </c>
      <c r="I17" s="11">
        <f t="shared" si="1"/>
        <v>0</v>
      </c>
      <c r="J17" s="11">
        <f t="shared" si="2"/>
        <v>392595585.83011484</v>
      </c>
      <c r="K17" s="11">
        <f t="shared" si="3"/>
        <v>388050120.11398882</v>
      </c>
      <c r="L17" s="11">
        <f t="shared" si="4"/>
        <v>-4545465.7161260247</v>
      </c>
      <c r="M17" s="11">
        <v>-200000000</v>
      </c>
      <c r="N17" s="3"/>
    </row>
    <row r="18" spans="1:14" x14ac:dyDescent="0.3">
      <c r="A18" s="19" t="s">
        <v>13</v>
      </c>
      <c r="B18" s="10" t="s">
        <v>13</v>
      </c>
      <c r="C18" s="35">
        <v>-76184067.390568256</v>
      </c>
      <c r="D18" s="11">
        <f>+IFERROR(VLOOKUP(B18,'1807'!$A$4:$D$27,4,0),"")</f>
        <v>-4046.0550660562531</v>
      </c>
      <c r="E18" s="11">
        <f>+IFERROR(VLOOKUP(B18,'1808'!$A$4:$D$30,4,0),"")</f>
        <v>-4073.3379450918892</v>
      </c>
      <c r="F18" s="11">
        <f>+IFERROR(VLOOKUP(B18,'1809'!$A$4:$D$39,4,0),"")</f>
        <v>-82589738.207998499</v>
      </c>
      <c r="G18" s="11">
        <f>+IFERROR(VLOOKUP(B18,'1810'!$A$4:$D$40,4,0),"")</f>
        <v>-61735541.454069674</v>
      </c>
      <c r="H18" s="11">
        <f t="shared" si="0"/>
        <v>-220792429.92540205</v>
      </c>
      <c r="I18" s="11">
        <f t="shared" si="1"/>
        <v>0</v>
      </c>
      <c r="J18" s="11">
        <f t="shared" si="2"/>
        <v>220792429.92540205</v>
      </c>
      <c r="K18" s="11">
        <f t="shared" si="3"/>
        <v>218236098.5329234</v>
      </c>
      <c r="L18" s="11">
        <f t="shared" si="4"/>
        <v>-2556331.3924786448</v>
      </c>
      <c r="M18" s="11">
        <v>-150000000</v>
      </c>
      <c r="N18" s="3"/>
    </row>
    <row r="19" spans="1:14" x14ac:dyDescent="0.3">
      <c r="A19" s="19" t="s">
        <v>14</v>
      </c>
      <c r="B19" s="10" t="s">
        <v>14</v>
      </c>
      <c r="C19" s="35">
        <v>0</v>
      </c>
      <c r="D19" s="11">
        <f>+IFERROR(VLOOKUP(B19,'1807'!$A$4:$D$27,4,0),"")</f>
        <v>-127.86946544062084</v>
      </c>
      <c r="E19" s="11">
        <f>+IFERROR(VLOOKUP(B19,'1808'!$A$4:$D$30,4,0),"")</f>
        <v>-4576.897996204727</v>
      </c>
      <c r="F19" s="11">
        <f>+IFERROR(VLOOKUP(B19,'1809'!$A$4:$D$39,4,0),"")</f>
        <v>1901772.8446084454</v>
      </c>
      <c r="G19" s="11">
        <f>+IFERROR(VLOOKUP(B19,'1810'!$A$4:$D$40,4,0),"")</f>
        <v>4180636.465294539</v>
      </c>
      <c r="H19" s="11">
        <f t="shared" si="0"/>
        <v>6077704.5424413392</v>
      </c>
      <c r="I19" s="11">
        <f t="shared" si="1"/>
        <v>6077704.5424413392</v>
      </c>
      <c r="J19" s="11">
        <f t="shared" si="2"/>
        <v>0</v>
      </c>
      <c r="K19" s="11">
        <f t="shared" si="3"/>
        <v>-6077704.5424413392</v>
      </c>
      <c r="L19" s="11">
        <f t="shared" si="4"/>
        <v>0</v>
      </c>
      <c r="M19" s="11"/>
      <c r="N19" s="3"/>
    </row>
    <row r="20" spans="1:14" x14ac:dyDescent="0.3">
      <c r="A20" s="19" t="s">
        <v>15</v>
      </c>
      <c r="B20" s="10" t="s">
        <v>15</v>
      </c>
      <c r="C20" s="35">
        <v>-75929153.469872385</v>
      </c>
      <c r="D20" s="11" t="str">
        <f>+IFERROR(VLOOKUP(B20,'1807'!$A$4:$D$27,4,0),"")</f>
        <v/>
      </c>
      <c r="E20" s="11">
        <f>+IFERROR(VLOOKUP(B20,'1808'!$A$4:$D$30,4,0),"")</f>
        <v>-6390624.9099564264</v>
      </c>
      <c r="F20" s="11">
        <f>+IFERROR(VLOOKUP(B20,'1809'!$A$4:$D$39,4,0),"")</f>
        <v>-100756613.11264415</v>
      </c>
      <c r="G20" s="11">
        <f>+IFERROR(VLOOKUP(B20,'1810'!$A$4:$D$40,4,0),"")</f>
        <v>-82250116.751588255</v>
      </c>
      <c r="H20" s="11">
        <f t="shared" si="0"/>
        <v>-265600551.68868136</v>
      </c>
      <c r="I20" s="11">
        <f t="shared" si="1"/>
        <v>0</v>
      </c>
      <c r="J20" s="11">
        <f t="shared" si="2"/>
        <v>265600551.68868136</v>
      </c>
      <c r="K20" s="11">
        <f t="shared" si="3"/>
        <v>262525432.54455662</v>
      </c>
      <c r="L20" s="11">
        <f t="shared" si="4"/>
        <v>-3075119.1441247463</v>
      </c>
      <c r="M20" s="11"/>
      <c r="N20" s="3"/>
    </row>
    <row r="21" spans="1:14" x14ac:dyDescent="0.3">
      <c r="A21" s="19" t="s">
        <v>16</v>
      </c>
      <c r="B21" s="10" t="s">
        <v>16</v>
      </c>
      <c r="C21" s="35">
        <v>0</v>
      </c>
      <c r="D21" s="11">
        <f>+IFERROR(VLOOKUP(B21,'1807'!$A$4:$D$27,4,0),"")</f>
        <v>9694.8533260509703</v>
      </c>
      <c r="E21" s="11">
        <f>+IFERROR(VLOOKUP(B21,'1808'!$A$4:$D$30,4,0),"")</f>
        <v>402384.7505588996</v>
      </c>
      <c r="F21" s="11">
        <f>+IFERROR(VLOOKUP(B21,'1809'!$A$4:$D$39,4,0),"")</f>
        <v>7626084.5064808717</v>
      </c>
      <c r="G21" s="11">
        <f>+IFERROR(VLOOKUP(B21,'1810'!$A$4:$D$40,4,0),"")</f>
        <v>23775747.341677245</v>
      </c>
      <c r="H21" s="11">
        <f t="shared" si="0"/>
        <v>31813911.452043068</v>
      </c>
      <c r="I21" s="11">
        <f t="shared" si="1"/>
        <v>31813911.452043068</v>
      </c>
      <c r="J21" s="11">
        <f t="shared" si="2"/>
        <v>0</v>
      </c>
      <c r="K21" s="11">
        <f t="shared" si="3"/>
        <v>-31813911.452043064</v>
      </c>
      <c r="L21" s="11">
        <f t="shared" si="4"/>
        <v>0</v>
      </c>
      <c r="M21" s="11"/>
      <c r="N21" s="3"/>
    </row>
    <row r="22" spans="1:14" x14ac:dyDescent="0.3">
      <c r="A22" s="19" t="s">
        <v>17</v>
      </c>
      <c r="B22" s="10" t="s">
        <v>17</v>
      </c>
      <c r="C22" s="35">
        <v>0</v>
      </c>
      <c r="D22" s="11" t="str">
        <f>+IFERROR(VLOOKUP(B22,'1807'!$A$4:$D$27,4,0),"")</f>
        <v/>
      </c>
      <c r="E22" s="11">
        <f>+IFERROR(VLOOKUP(B22,'1808'!$A$4:$D$30,4,0),"")</f>
        <v>2219.9498903930926</v>
      </c>
      <c r="F22" s="11">
        <f>+IFERROR(VLOOKUP(B22,'1809'!$A$4:$D$39,4,0),"")</f>
        <v>971094.37748420658</v>
      </c>
      <c r="G22" s="11">
        <f>+IFERROR(VLOOKUP(B22,'1810'!$A$4:$D$40,4,0),"")</f>
        <v>4393283.5466128923</v>
      </c>
      <c r="H22" s="11">
        <f t="shared" si="0"/>
        <v>5366597.8739874922</v>
      </c>
      <c r="I22" s="11">
        <f t="shared" si="1"/>
        <v>5366597.8739874922</v>
      </c>
      <c r="J22" s="11">
        <f t="shared" si="2"/>
        <v>0</v>
      </c>
      <c r="K22" s="11">
        <f t="shared" si="3"/>
        <v>-5366597.8739874922</v>
      </c>
      <c r="L22" s="11">
        <f t="shared" si="4"/>
        <v>0</v>
      </c>
      <c r="M22" s="11">
        <v>3500000</v>
      </c>
      <c r="N22" s="3"/>
    </row>
    <row r="23" spans="1:14" x14ac:dyDescent="0.3">
      <c r="A23" s="19" t="s">
        <v>18</v>
      </c>
      <c r="B23" s="10" t="s">
        <v>18</v>
      </c>
      <c r="C23" s="35">
        <v>0</v>
      </c>
      <c r="D23" s="11">
        <f>+IFERROR(VLOOKUP(B23,'1807'!$A$4:$D$27,4,0),"")</f>
        <v>-0.68244301109239558</v>
      </c>
      <c r="E23" s="11">
        <f>+IFERROR(VLOOKUP(B23,'1808'!$A$4:$D$30,4,0),"")</f>
        <v>-3333.2458524723079</v>
      </c>
      <c r="F23" s="11">
        <f>+IFERROR(VLOOKUP(B23,'1809'!$A$4:$D$39,4,0),"")</f>
        <v>9178016.917705005</v>
      </c>
      <c r="G23" s="11">
        <f>+IFERROR(VLOOKUP(B23,'1810'!$A$4:$D$40,4,0),"")</f>
        <v>13994133.179102419</v>
      </c>
      <c r="H23" s="11">
        <f t="shared" si="0"/>
        <v>23168816.168511942</v>
      </c>
      <c r="I23" s="11">
        <f t="shared" si="1"/>
        <v>23168816.168511942</v>
      </c>
      <c r="J23" s="11">
        <f t="shared" si="2"/>
        <v>0</v>
      </c>
      <c r="K23" s="11">
        <f t="shared" si="3"/>
        <v>-23168816.168511942</v>
      </c>
      <c r="L23" s="11">
        <f t="shared" si="4"/>
        <v>0</v>
      </c>
      <c r="M23" s="11">
        <v>15000000</v>
      </c>
      <c r="N23" s="3"/>
    </row>
    <row r="24" spans="1:14" x14ac:dyDescent="0.3">
      <c r="A24" s="19" t="s">
        <v>77</v>
      </c>
      <c r="B24" s="10" t="s">
        <v>19</v>
      </c>
      <c r="C24" s="35">
        <v>0</v>
      </c>
      <c r="D24" s="11">
        <f>+IFERROR(VLOOKUP(B24,'1807'!$A$4:$D$27,4,0),"")</f>
        <v>61369.377817538567</v>
      </c>
      <c r="E24" s="11">
        <f>+IFERROR(VLOOKUP(B24,'1808'!$A$4:$D$30,4,0),"")</f>
        <v>162454.42854872375</v>
      </c>
      <c r="F24" s="11">
        <f>+IFERROR(VLOOKUP(B24,'1809'!$A$4:$D$39,4,0),"")</f>
        <v>526180.68778763688</v>
      </c>
      <c r="G24" s="11">
        <f>+IFERROR(VLOOKUP(B24,'1810'!$A$4:$D$40,4,0),"")</f>
        <v>292112.86013005296</v>
      </c>
      <c r="H24" s="11">
        <f t="shared" si="0"/>
        <v>1042117.3542839522</v>
      </c>
      <c r="I24" s="11">
        <f t="shared" si="1"/>
        <v>1042117.3542839522</v>
      </c>
      <c r="J24" s="11">
        <f t="shared" si="2"/>
        <v>0</v>
      </c>
      <c r="K24" s="11">
        <f t="shared" si="3"/>
        <v>-1042117.354283952</v>
      </c>
      <c r="L24" s="11">
        <f t="shared" si="4"/>
        <v>0</v>
      </c>
      <c r="M24" s="11"/>
      <c r="N24" s="3"/>
    </row>
    <row r="25" spans="1:14" x14ac:dyDescent="0.3">
      <c r="A25" s="19" t="s">
        <v>77</v>
      </c>
      <c r="B25" s="10" t="s">
        <v>20</v>
      </c>
      <c r="C25" s="35">
        <v>0</v>
      </c>
      <c r="D25" s="11">
        <f>+IFERROR(VLOOKUP(B25,'1807'!$A$4:$D$27,4,0),"")</f>
        <v>-53392.596146929129</v>
      </c>
      <c r="E25" s="11">
        <f>+IFERROR(VLOOKUP(B25,'1808'!$A$4:$D$30,4,0),"")</f>
        <v>4162833.8326354162</v>
      </c>
      <c r="F25" s="11">
        <f>+IFERROR(VLOOKUP(B25,'1809'!$A$4:$D$39,4,0),"")</f>
        <v>67173838.918056861</v>
      </c>
      <c r="G25" s="11">
        <f>+IFERROR(VLOOKUP(B25,'1810'!$A$4:$D$40,4,0),"")</f>
        <v>36983482.974867329</v>
      </c>
      <c r="H25" s="11">
        <f t="shared" si="0"/>
        <v>108266763.12941268</v>
      </c>
      <c r="I25" s="11">
        <f t="shared" si="1"/>
        <v>108266763.12941268</v>
      </c>
      <c r="J25" s="11">
        <f t="shared" si="2"/>
        <v>0</v>
      </c>
      <c r="K25" s="11">
        <f t="shared" si="3"/>
        <v>-108266763.12941267</v>
      </c>
      <c r="L25" s="11">
        <f t="shared" si="4"/>
        <v>0</v>
      </c>
      <c r="M25" s="11"/>
      <c r="N25" s="3"/>
    </row>
    <row r="26" spans="1:14" x14ac:dyDescent="0.3">
      <c r="A26" s="19" t="s">
        <v>77</v>
      </c>
      <c r="B26" s="10" t="s">
        <v>21</v>
      </c>
      <c r="C26" s="35">
        <v>0</v>
      </c>
      <c r="D26" s="11">
        <f>+IFERROR(VLOOKUP(B26,'1807'!$A$4:$D$27,4,0),"")</f>
        <v>-35370.773728577085</v>
      </c>
      <c r="E26" s="11">
        <f>+IFERROR(VLOOKUP(B26,'1808'!$A$4:$D$30,4,0),"")</f>
        <v>977843.59602805669</v>
      </c>
      <c r="F26" s="11">
        <f>+IFERROR(VLOOKUP(B26,'1809'!$A$4:$D$39,4,0),"")</f>
        <v>14053778.362548014</v>
      </c>
      <c r="G26" s="11">
        <f>+IFERROR(VLOOKUP(B26,'1810'!$A$4:$D$40,4,0),"")</f>
        <v>14718271.972045038</v>
      </c>
      <c r="H26" s="11">
        <f t="shared" si="0"/>
        <v>29714523.156892531</v>
      </c>
      <c r="I26" s="11">
        <f t="shared" si="1"/>
        <v>29714523.156892531</v>
      </c>
      <c r="J26" s="11">
        <f t="shared" si="2"/>
        <v>0</v>
      </c>
      <c r="K26" s="11">
        <f t="shared" si="3"/>
        <v>-29714523.156892527</v>
      </c>
      <c r="L26" s="11">
        <f t="shared" si="4"/>
        <v>0</v>
      </c>
      <c r="M26" s="11"/>
      <c r="N26" s="3"/>
    </row>
    <row r="27" spans="1:14" x14ac:dyDescent="0.3">
      <c r="A27" s="19" t="s">
        <v>77</v>
      </c>
      <c r="B27" s="10" t="s">
        <v>22</v>
      </c>
      <c r="C27" s="35">
        <v>0</v>
      </c>
      <c r="D27" s="11">
        <f>+IFERROR(VLOOKUP(B27,'1807'!$A$4:$D$27,4,0),"")</f>
        <v>1209530.8870029622</v>
      </c>
      <c r="E27" s="11">
        <f>+IFERROR(VLOOKUP(B27,'1808'!$A$4:$D$30,4,0),"")</f>
        <v>1730335.8045305097</v>
      </c>
      <c r="F27" s="11">
        <f>+IFERROR(VLOOKUP(B27,'1809'!$A$4:$D$39,4,0),"")</f>
        <v>7144001.4797177846</v>
      </c>
      <c r="G27" s="11">
        <f>+IFERROR(VLOOKUP(B27,'1810'!$A$4:$D$40,4,0),"")</f>
        <v>4217101.5455261497</v>
      </c>
      <c r="H27" s="11">
        <f t="shared" si="0"/>
        <v>14300969.716777407</v>
      </c>
      <c r="I27" s="11">
        <f t="shared" si="1"/>
        <v>14300969.716777407</v>
      </c>
      <c r="J27" s="11">
        <f t="shared" si="2"/>
        <v>0</v>
      </c>
      <c r="K27" s="11">
        <f t="shared" si="3"/>
        <v>-14300969.716777407</v>
      </c>
      <c r="L27" s="11">
        <f t="shared" si="4"/>
        <v>0</v>
      </c>
      <c r="M27" s="11"/>
      <c r="N27" s="3"/>
    </row>
    <row r="28" spans="1:14" x14ac:dyDescent="0.3">
      <c r="A28" s="19" t="s">
        <v>77</v>
      </c>
      <c r="B28" s="10" t="s">
        <v>23</v>
      </c>
      <c r="C28" s="35">
        <v>0</v>
      </c>
      <c r="D28" s="11">
        <f>+IFERROR(VLOOKUP(B28,'1807'!$A$4:$D$27,4,0),"")</f>
        <v>451709.69795054127</v>
      </c>
      <c r="E28" s="11">
        <f>+IFERROR(VLOOKUP(B28,'1808'!$A$4:$D$30,4,0),"")</f>
        <v>4334261.1608649278</v>
      </c>
      <c r="F28" s="11">
        <f>+IFERROR(VLOOKUP(B28,'1809'!$A$4:$D$39,4,0),"")</f>
        <v>40204641.839290634</v>
      </c>
      <c r="G28" s="11">
        <f>+IFERROR(VLOOKUP(B28,'1810'!$A$4:$D$40,4,0),"")</f>
        <v>23891366.77116983</v>
      </c>
      <c r="H28" s="11">
        <f t="shared" si="0"/>
        <v>68881979.469275936</v>
      </c>
      <c r="I28" s="11">
        <f t="shared" si="1"/>
        <v>68881979.469275936</v>
      </c>
      <c r="J28" s="11">
        <f t="shared" si="2"/>
        <v>0</v>
      </c>
      <c r="K28" s="11">
        <f t="shared" si="3"/>
        <v>-68881979.469275936</v>
      </c>
      <c r="L28" s="11">
        <f t="shared" si="4"/>
        <v>0</v>
      </c>
      <c r="M28" s="11"/>
      <c r="N28" s="3"/>
    </row>
    <row r="29" spans="1:14" x14ac:dyDescent="0.3">
      <c r="A29" s="19" t="s">
        <v>24</v>
      </c>
      <c r="B29" s="10" t="s">
        <v>24</v>
      </c>
      <c r="C29" s="35">
        <v>-15804623.129854977</v>
      </c>
      <c r="D29" s="11" t="str">
        <f>+IFERROR(VLOOKUP(B29,'1807'!$A$4:$D$27,4,0),"")</f>
        <v/>
      </c>
      <c r="E29" s="11" t="str">
        <f>+IFERROR(VLOOKUP(B29,'1808'!$A$4:$D$30,4,0),"")</f>
        <v/>
      </c>
      <c r="F29" s="11">
        <f>+IFERROR(VLOOKUP(B29,'1809'!$A$4:$D$39,4,0),"")</f>
        <v>-12586442.971482772</v>
      </c>
      <c r="G29" s="11">
        <f>+IFERROR(VLOOKUP(B29,'1810'!$A$4:$D$40,4,0),"")</f>
        <v>-11834962.881851431</v>
      </c>
      <c r="H29" s="11">
        <f t="shared" si="0"/>
        <v>-40283071.01731573</v>
      </c>
      <c r="I29" s="11">
        <f t="shared" si="1"/>
        <v>0</v>
      </c>
      <c r="J29" s="11">
        <f t="shared" si="2"/>
        <v>40283071.01731573</v>
      </c>
      <c r="K29" s="11">
        <f t="shared" si="3"/>
        <v>39816674.234320037</v>
      </c>
      <c r="L29" s="11">
        <f t="shared" si="4"/>
        <v>-466396.78299569339</v>
      </c>
      <c r="M29" s="11">
        <v>-20000000</v>
      </c>
      <c r="N29" s="3"/>
    </row>
    <row r="30" spans="1:14" x14ac:dyDescent="0.3">
      <c r="A30" s="19" t="s">
        <v>25</v>
      </c>
      <c r="B30" s="10" t="s">
        <v>25</v>
      </c>
      <c r="C30" s="35">
        <v>-502155159.72227001</v>
      </c>
      <c r="D30" s="11" t="str">
        <f>+IFERROR(VLOOKUP(B30,'1807'!$A$4:$D$27,4,0),"")</f>
        <v/>
      </c>
      <c r="E30" s="11">
        <f>+IFERROR(VLOOKUP(B30,'1808'!$A$4:$D$30,4,0),"")</f>
        <v>-33920205.550610825</v>
      </c>
      <c r="F30" s="11">
        <f>+IFERROR(VLOOKUP(B30,'1809'!$A$4:$D$39,4,0),"")</f>
        <v>-447336484.76703668</v>
      </c>
      <c r="G30" s="11">
        <f>+IFERROR(VLOOKUP(B30,'1810'!$A$4:$D$40,4,0),"")</f>
        <v>-367310471.04797566</v>
      </c>
      <c r="H30" s="11">
        <f t="shared" si="0"/>
        <v>-1352534699.1194577</v>
      </c>
      <c r="I30" s="11">
        <f t="shared" si="1"/>
        <v>0</v>
      </c>
      <c r="J30" s="11">
        <f t="shared" si="2"/>
        <v>1352534699.1194577</v>
      </c>
      <c r="K30" s="11">
        <f t="shared" si="3"/>
        <v>1336875072.9631448</v>
      </c>
      <c r="L30" s="11">
        <f t="shared" si="4"/>
        <v>-15659626.156312943</v>
      </c>
      <c r="M30" s="11"/>
      <c r="N30" s="3"/>
    </row>
    <row r="31" spans="1:14" x14ac:dyDescent="0.3">
      <c r="A31" s="19" t="s">
        <v>26</v>
      </c>
      <c r="B31" s="10" t="s">
        <v>26</v>
      </c>
      <c r="C31" s="35">
        <v>0</v>
      </c>
      <c r="D31" s="11">
        <f>+IFERROR(VLOOKUP(B31,'1807'!$A$4:$D$27,4,0),"")</f>
        <v>236.13236126712877</v>
      </c>
      <c r="E31" s="11">
        <f>+IFERROR(VLOOKUP(B31,'1808'!$A$4:$D$30,4,0),"")</f>
        <v>17116.550650812511</v>
      </c>
      <c r="F31" s="11">
        <f>+IFERROR(VLOOKUP(B31,'1809'!$A$4:$D$39,4,0),"")</f>
        <v>1360474.0692271292</v>
      </c>
      <c r="G31" s="11">
        <f>+IFERROR(VLOOKUP(B31,'1810'!$A$4:$D$40,4,0),"")</f>
        <v>3494734.3689106107</v>
      </c>
      <c r="H31" s="11">
        <f t="shared" si="0"/>
        <v>4872561.1211498193</v>
      </c>
      <c r="I31" s="11">
        <f t="shared" si="1"/>
        <v>4872561.1211498193</v>
      </c>
      <c r="J31" s="11">
        <f t="shared" si="2"/>
        <v>0</v>
      </c>
      <c r="K31" s="11">
        <f t="shared" si="3"/>
        <v>-4872561.1211498193</v>
      </c>
      <c r="L31" s="11">
        <f t="shared" si="4"/>
        <v>0</v>
      </c>
      <c r="M31" s="11"/>
      <c r="N31" s="3"/>
    </row>
    <row r="32" spans="1:14" x14ac:dyDescent="0.3">
      <c r="A32" s="19" t="s">
        <v>27</v>
      </c>
      <c r="B32" s="10" t="s">
        <v>27</v>
      </c>
      <c r="C32" s="35">
        <v>-15028482.342998803</v>
      </c>
      <c r="D32" s="11" t="str">
        <f>+IFERROR(VLOOKUP(B32,'1807'!$A$4:$D$27,4,0),"")</f>
        <v/>
      </c>
      <c r="E32" s="11" t="str">
        <f>+IFERROR(VLOOKUP(B32,'1808'!$A$4:$D$30,4,0),"")</f>
        <v/>
      </c>
      <c r="F32" s="11">
        <f>+IFERROR(VLOOKUP(B32,'1809'!$A$4:$D$39,4,0),"")</f>
        <v>-4479935.1654370576</v>
      </c>
      <c r="G32" s="11">
        <f>+IFERROR(VLOOKUP(B32,'1810'!$A$4:$D$40,4,0),"")</f>
        <v>-2941698.4972191025</v>
      </c>
      <c r="H32" s="11">
        <f t="shared" si="0"/>
        <v>-22504356.793026872</v>
      </c>
      <c r="I32" s="11">
        <f t="shared" si="1"/>
        <v>0</v>
      </c>
      <c r="J32" s="11">
        <f t="shared" si="2"/>
        <v>22504356.793026872</v>
      </c>
      <c r="K32" s="11">
        <f t="shared" si="3"/>
        <v>22243801.692668624</v>
      </c>
      <c r="L32" s="11">
        <f t="shared" si="4"/>
        <v>-260555.10035824776</v>
      </c>
      <c r="M32" s="11">
        <v>-10000000</v>
      </c>
      <c r="N32" s="3"/>
    </row>
    <row r="33" spans="1:14" x14ac:dyDescent="0.3">
      <c r="A33" s="19" t="s">
        <v>28</v>
      </c>
      <c r="B33" s="10" t="s">
        <v>28</v>
      </c>
      <c r="C33" s="35">
        <v>-26880044.840200901</v>
      </c>
      <c r="D33" s="11" t="str">
        <f>+IFERROR(VLOOKUP(B33,'1807'!$A$4:$D$27,4,0),"")</f>
        <v/>
      </c>
      <c r="E33" s="11">
        <f>+IFERROR(VLOOKUP(B33,'1808'!$A$4:$D$30,4,0),"")</f>
        <v>-10067313.919867722</v>
      </c>
      <c r="F33" s="11">
        <f>+IFERROR(VLOOKUP(B33,'1809'!$A$4:$D$39,4,0),"")</f>
        <v>-22852027.498752981</v>
      </c>
      <c r="G33" s="11">
        <f>+IFERROR(VLOOKUP(B33,'1810'!$A$4:$D$40,4,0),"")</f>
        <v>-20362688.173440158</v>
      </c>
      <c r="H33" s="11">
        <f t="shared" si="0"/>
        <v>-80259089.870244697</v>
      </c>
      <c r="I33" s="11">
        <f t="shared" si="1"/>
        <v>0</v>
      </c>
      <c r="J33" s="11">
        <f t="shared" si="2"/>
        <v>80259089.870244697</v>
      </c>
      <c r="K33" s="11">
        <f t="shared" si="3"/>
        <v>79329851.349538207</v>
      </c>
      <c r="L33" s="11">
        <f t="shared" si="4"/>
        <v>-929238.52070648968</v>
      </c>
      <c r="M33" s="11"/>
      <c r="N33" s="3"/>
    </row>
    <row r="34" spans="1:14" x14ac:dyDescent="0.3">
      <c r="A34" s="19" t="s">
        <v>29</v>
      </c>
      <c r="B34" s="10" t="s">
        <v>29</v>
      </c>
      <c r="C34" s="35">
        <v>-75405476.310197353</v>
      </c>
      <c r="D34" s="11">
        <f>+IFERROR(VLOOKUP(B34,'1807'!$A$4:$D$27,4,0),"")</f>
        <v>-304322.38524414256</v>
      </c>
      <c r="E34" s="11">
        <f>+IFERROR(VLOOKUP(B34,'1808'!$A$4:$D$30,4,0),"")</f>
        <v>-10744377.102033004</v>
      </c>
      <c r="F34" s="11">
        <f>+IFERROR(VLOOKUP(B34,'1809'!$A$4:$D$39,4,0),"")</f>
        <v>-86941343.050400108</v>
      </c>
      <c r="G34" s="11">
        <f>+IFERROR(VLOOKUP(B34,'1810'!$A$4:$D$40,4,0),"")</f>
        <v>-21459682.010256574</v>
      </c>
      <c r="H34" s="11">
        <f t="shared" si="0"/>
        <v>-195127354.24753344</v>
      </c>
      <c r="I34" s="11">
        <f t="shared" si="1"/>
        <v>0</v>
      </c>
      <c r="J34" s="11">
        <f t="shared" si="2"/>
        <v>195127354.24753344</v>
      </c>
      <c r="K34" s="11">
        <f t="shared" si="3"/>
        <v>192868172.71054506</v>
      </c>
      <c r="L34" s="11">
        <f t="shared" si="4"/>
        <v>-2259181.5369883776</v>
      </c>
      <c r="M34" s="11"/>
      <c r="N34" s="3"/>
    </row>
    <row r="35" spans="1:14" x14ac:dyDescent="0.3">
      <c r="A35" s="19" t="s">
        <v>30</v>
      </c>
      <c r="B35" s="10" t="s">
        <v>30</v>
      </c>
      <c r="C35" s="35">
        <v>-54428137.10488677</v>
      </c>
      <c r="D35" s="11">
        <f>+IFERROR(VLOOKUP(B35,'1807'!$A$4:$D$27,4,0),"")</f>
        <v>-284374.14107798005</v>
      </c>
      <c r="E35" s="11">
        <f>+IFERROR(VLOOKUP(B35,'1808'!$A$4:$D$30,4,0),"")</f>
        <v>-18044909.778779496</v>
      </c>
      <c r="F35" s="11">
        <f>+IFERROR(VLOOKUP(B35,'1809'!$A$4:$D$39,4,0),"")</f>
        <v>-71167905.812867776</v>
      </c>
      <c r="G35" s="11">
        <f>+IFERROR(VLOOKUP(B35,'1810'!$A$4:$D$40,4,0),"")</f>
        <v>-5639856.636881778</v>
      </c>
      <c r="H35" s="11">
        <f t="shared" si="0"/>
        <v>-149761625.46673068</v>
      </c>
      <c r="I35" s="11">
        <f t="shared" si="1"/>
        <v>0</v>
      </c>
      <c r="J35" s="11">
        <f t="shared" si="2"/>
        <v>149761625.46673068</v>
      </c>
      <c r="K35" s="11">
        <f t="shared" si="3"/>
        <v>148027687.64694864</v>
      </c>
      <c r="L35" s="11">
        <f t="shared" si="4"/>
        <v>-1733937.8197820485</v>
      </c>
      <c r="M35" s="11"/>
      <c r="N35" s="3"/>
    </row>
    <row r="36" spans="1:14" x14ac:dyDescent="0.3">
      <c r="A36" s="19" t="s">
        <v>31</v>
      </c>
      <c r="B36" s="10" t="s">
        <v>31</v>
      </c>
      <c r="C36" s="35">
        <v>-61108667.864814222</v>
      </c>
      <c r="D36" s="11" t="str">
        <f>+IFERROR(VLOOKUP(B36,'1807'!$A$4:$D$27,4,0),"")</f>
        <v/>
      </c>
      <c r="E36" s="11">
        <f>+IFERROR(VLOOKUP(B36,'1808'!$A$4:$D$30,4,0),"")</f>
        <v>-11653627.997164631</v>
      </c>
      <c r="F36" s="11">
        <f>+IFERROR(VLOOKUP(B36,'1809'!$A$4:$D$39,4,0),"")</f>
        <v>-30866633.476776484</v>
      </c>
      <c r="G36" s="11">
        <f>+IFERROR(VLOOKUP(B36,'1810'!$A$4:$D$40,4,0),"")</f>
        <v>-139812993.22966859</v>
      </c>
      <c r="H36" s="11">
        <f t="shared" si="0"/>
        <v>-243662475.9273451</v>
      </c>
      <c r="I36" s="11">
        <f t="shared" si="1"/>
        <v>0</v>
      </c>
      <c r="J36" s="11">
        <f t="shared" si="2"/>
        <v>243662475.9273451</v>
      </c>
      <c r="K36" s="11">
        <f t="shared" si="3"/>
        <v>240841355.49041441</v>
      </c>
      <c r="L36" s="11">
        <f t="shared" si="4"/>
        <v>-2821120.4369306862</v>
      </c>
      <c r="M36" s="11"/>
      <c r="N36" s="3"/>
    </row>
    <row r="37" spans="1:14" x14ac:dyDescent="0.3">
      <c r="A37" s="19" t="s">
        <v>32</v>
      </c>
      <c r="B37" s="10" t="s">
        <v>32</v>
      </c>
      <c r="C37" s="35">
        <v>-22695294.062052824</v>
      </c>
      <c r="D37" s="11" t="str">
        <f>+IFERROR(VLOOKUP(B37,'1807'!$A$4:$D$27,4,0),"")</f>
        <v/>
      </c>
      <c r="E37" s="11" t="str">
        <f>+IFERROR(VLOOKUP(B37,'1808'!$A$4:$D$30,4,0),"")</f>
        <v/>
      </c>
      <c r="F37" s="11" t="str">
        <f>+IFERROR(VLOOKUP(B37,'1809'!$A$4:$D$39,4,0),"")</f>
        <v/>
      </c>
      <c r="G37" s="11">
        <f>+IFERROR(VLOOKUP(B37,'1810'!$A$4:$D$40,4,0),"")</f>
        <v>-35404591.257405214</v>
      </c>
      <c r="H37" s="11">
        <f t="shared" si="0"/>
        <v>-58181797.158023447</v>
      </c>
      <c r="I37" s="11">
        <f t="shared" si="1"/>
        <v>0</v>
      </c>
      <c r="J37" s="11">
        <f t="shared" si="2"/>
        <v>58181797.158023447</v>
      </c>
      <c r="K37" s="11">
        <f t="shared" si="3"/>
        <v>57508169.196248978</v>
      </c>
      <c r="L37" s="11">
        <f t="shared" si="4"/>
        <v>-673627.96177446842</v>
      </c>
      <c r="M37" s="11">
        <v>-40000000</v>
      </c>
      <c r="N37" s="3"/>
    </row>
    <row r="38" spans="1:14" x14ac:dyDescent="0.3">
      <c r="A38" s="19" t="s">
        <v>33</v>
      </c>
      <c r="B38" s="10" t="s">
        <v>33</v>
      </c>
      <c r="C38" s="35">
        <v>-3590175.5253881384</v>
      </c>
      <c r="D38" s="11" t="str">
        <f>+IFERROR(VLOOKUP(B38,'1807'!$A$4:$D$27,4,0),"")</f>
        <v/>
      </c>
      <c r="E38" s="11" t="str">
        <f>+IFERROR(VLOOKUP(B38,'1808'!$A$4:$D$30,4,0),"")</f>
        <v/>
      </c>
      <c r="F38" s="11">
        <f>+IFERROR(VLOOKUP(B38,'1809'!$A$4:$D$39,4,0),"")</f>
        <v>-3676308.5040540509</v>
      </c>
      <c r="G38" s="11">
        <f>+IFERROR(VLOOKUP(B38,'1810'!$A$4:$D$40,4,0),"")</f>
        <v>-1978825.4459898318</v>
      </c>
      <c r="H38" s="11">
        <f t="shared" si="0"/>
        <v>-9258267.1342864521</v>
      </c>
      <c r="I38" s="11">
        <f t="shared" si="1"/>
        <v>0</v>
      </c>
      <c r="J38" s="11">
        <f t="shared" si="2"/>
        <v>9258267.1342864521</v>
      </c>
      <c r="K38" s="11">
        <f t="shared" si="3"/>
        <v>9151075.0583474096</v>
      </c>
      <c r="L38" s="11">
        <f t="shared" si="4"/>
        <v>-107192.07593904249</v>
      </c>
      <c r="M38" s="11">
        <v>-8000000</v>
      </c>
      <c r="N38" s="3"/>
    </row>
    <row r="39" spans="1:14" x14ac:dyDescent="0.3">
      <c r="B39" s="12" t="s">
        <v>34</v>
      </c>
      <c r="C39" s="13">
        <f>+SUM(C7:C38)</f>
        <v>-862894233.17172503</v>
      </c>
      <c r="D39" s="13">
        <f t="shared" ref="D39:G39" si="5">+SUM(D7:D38)</f>
        <v>9188963.5223924257</v>
      </c>
      <c r="E39" s="13">
        <f t="shared" si="5"/>
        <v>-22099911.263253763</v>
      </c>
      <c r="F39" s="13">
        <f t="shared" si="5"/>
        <v>733050867.3567667</v>
      </c>
      <c r="G39" s="13">
        <f t="shared" si="5"/>
        <v>105695099.09535824</v>
      </c>
      <c r="H39" s="13">
        <f>+SUM(H7:H38)</f>
        <v>-40173571.689468339</v>
      </c>
      <c r="I39" s="13">
        <f t="shared" ref="I39" si="6">+SUM(I7:I38)</f>
        <v>3429650621.7612891</v>
      </c>
      <c r="J39" s="13">
        <f t="shared" ref="J39:L39" si="7">+SUM(J7:J38)</f>
        <v>3469824193.4507575</v>
      </c>
      <c r="K39" s="13">
        <f t="shared" si="7"/>
        <v>3.6321580410003662E-7</v>
      </c>
      <c r="L39" s="13">
        <f t="shared" si="7"/>
        <v>-40173571.689468354</v>
      </c>
    </row>
    <row r="40" spans="1:14" x14ac:dyDescent="0.3">
      <c r="J40" s="3"/>
    </row>
    <row r="41" spans="1:14" x14ac:dyDescent="0.3">
      <c r="C41" s="3"/>
      <c r="G41" s="3"/>
      <c r="H41" s="14" t="s">
        <v>40</v>
      </c>
      <c r="I41" s="7">
        <f>+I39</f>
        <v>3429650621.7612891</v>
      </c>
      <c r="K41" s="3"/>
    </row>
    <row r="42" spans="1:14" x14ac:dyDescent="0.3">
      <c r="C42" s="3"/>
      <c r="H42" s="14" t="s">
        <v>41</v>
      </c>
      <c r="I42" s="7">
        <f>+J39</f>
        <v>3469824193.4507575</v>
      </c>
      <c r="K42" s="3"/>
    </row>
    <row r="43" spans="1:14" x14ac:dyDescent="0.3">
      <c r="H43" s="14" t="s">
        <v>47</v>
      </c>
      <c r="I43" s="7">
        <f>+IF(I42&lt;I41,I42,I41)</f>
        <v>3429650621.7612891</v>
      </c>
    </row>
    <row r="45" spans="1:14" x14ac:dyDescent="0.3">
      <c r="B45" s="23" t="s">
        <v>48</v>
      </c>
    </row>
    <row r="46" spans="1:14" x14ac:dyDescent="0.3">
      <c r="B46" s="21">
        <f>+B3</f>
        <v>43374</v>
      </c>
    </row>
    <row r="48" spans="1:14" x14ac:dyDescent="0.3">
      <c r="C48" s="22" t="s">
        <v>43</v>
      </c>
      <c r="D48" s="15"/>
      <c r="E48" s="15"/>
      <c r="F48" s="15"/>
      <c r="G48" s="15"/>
      <c r="H48" s="15"/>
      <c r="I48" s="15"/>
      <c r="J48" s="51"/>
      <c r="K48" s="49"/>
    </row>
    <row r="49" spans="2:12" x14ac:dyDescent="0.3">
      <c r="B49" s="27" t="s">
        <v>44</v>
      </c>
      <c r="C49" s="16" t="s">
        <v>3</v>
      </c>
      <c r="D49" s="16" t="s">
        <v>77</v>
      </c>
      <c r="E49" s="17" t="s">
        <v>46</v>
      </c>
      <c r="F49" s="17" t="s">
        <v>5</v>
      </c>
      <c r="G49" s="17" t="s">
        <v>14</v>
      </c>
      <c r="H49" s="17" t="s">
        <v>16</v>
      </c>
      <c r="I49" s="16" t="s">
        <v>17</v>
      </c>
      <c r="J49" s="16" t="s">
        <v>18</v>
      </c>
      <c r="K49" s="48" t="s">
        <v>26</v>
      </c>
      <c r="L49" s="30" t="s">
        <v>45</v>
      </c>
    </row>
    <row r="50" spans="2:12" x14ac:dyDescent="0.3">
      <c r="B50" s="18" t="s">
        <v>6</v>
      </c>
      <c r="C50" s="20">
        <f t="shared" ref="C50:K59" si="8">+$L50*C$67/$L$67</f>
        <v>185404.29394702453</v>
      </c>
      <c r="D50" s="20">
        <f t="shared" si="8"/>
        <v>29413138.764896594</v>
      </c>
      <c r="E50" s="20">
        <f t="shared" si="8"/>
        <v>34323550.241644375</v>
      </c>
      <c r="F50" s="20">
        <f t="shared" si="8"/>
        <v>3724671.2399779339</v>
      </c>
      <c r="G50" s="20">
        <f t="shared" si="8"/>
        <v>122422.29724723259</v>
      </c>
      <c r="H50" s="20">
        <f t="shared" si="8"/>
        <v>640822.87929295877</v>
      </c>
      <c r="I50" s="20">
        <f t="shared" si="8"/>
        <v>108098.58155292261</v>
      </c>
      <c r="J50" s="20">
        <f t="shared" si="8"/>
        <v>466686.01279336266</v>
      </c>
      <c r="K50" s="20">
        <f t="shared" si="8"/>
        <v>98147.272833552604</v>
      </c>
      <c r="L50" s="28">
        <f t="shared" ref="L50:L66" si="9">SUMIF($A$7:$A$38,B50,$K$7:$K$38)</f>
        <v>69082941.584185958</v>
      </c>
    </row>
    <row r="51" spans="2:12" x14ac:dyDescent="0.3">
      <c r="B51" s="18" t="s">
        <v>7</v>
      </c>
      <c r="C51" s="20">
        <f t="shared" si="8"/>
        <v>246180.19327189858</v>
      </c>
      <c r="D51" s="20">
        <f t="shared" si="8"/>
        <v>39054824.630676366</v>
      </c>
      <c r="E51" s="20">
        <f t="shared" si="8"/>
        <v>45574878.835762471</v>
      </c>
      <c r="F51" s="20">
        <f t="shared" si="8"/>
        <v>4945625.9410801278</v>
      </c>
      <c r="G51" s="20">
        <f t="shared" si="8"/>
        <v>162552.57176365526</v>
      </c>
      <c r="H51" s="20">
        <f t="shared" si="8"/>
        <v>850885.90409060952</v>
      </c>
      <c r="I51" s="20">
        <f t="shared" si="8"/>
        <v>143533.51334311778</v>
      </c>
      <c r="J51" s="20">
        <f t="shared" si="8"/>
        <v>619666.62357663026</v>
      </c>
      <c r="K51" s="20">
        <f t="shared" si="8"/>
        <v>130320.14567136999</v>
      </c>
      <c r="L51" s="28">
        <f t="shared" si="9"/>
        <v>91728468.359236255</v>
      </c>
    </row>
    <row r="52" spans="2:12" x14ac:dyDescent="0.3">
      <c r="B52" s="18" t="s">
        <v>9</v>
      </c>
      <c r="C52" s="20">
        <f t="shared" si="8"/>
        <v>512274.48812359874</v>
      </c>
      <c r="D52" s="20">
        <f t="shared" si="8"/>
        <v>81268886.950380117</v>
      </c>
      <c r="E52" s="20">
        <f t="shared" si="8"/>
        <v>94836418.058618411</v>
      </c>
      <c r="F52" s="20">
        <f t="shared" si="8"/>
        <v>10291315.331852956</v>
      </c>
      <c r="G52" s="20">
        <f t="shared" si="8"/>
        <v>338254.40782488196</v>
      </c>
      <c r="H52" s="20">
        <f t="shared" si="8"/>
        <v>1770601.9935087888</v>
      </c>
      <c r="I52" s="20">
        <f t="shared" si="8"/>
        <v>298677.79409538978</v>
      </c>
      <c r="J52" s="20">
        <f t="shared" si="8"/>
        <v>1289459.554731094</v>
      </c>
      <c r="K52" s="20">
        <f t="shared" si="8"/>
        <v>271182.19800185075</v>
      </c>
      <c r="L52" s="28">
        <f t="shared" si="9"/>
        <v>190877070.7771371</v>
      </c>
    </row>
    <row r="53" spans="2:12" x14ac:dyDescent="0.3">
      <c r="B53" s="18" t="s">
        <v>10</v>
      </c>
      <c r="C53" s="20">
        <f t="shared" si="8"/>
        <v>16812.451329785916</v>
      </c>
      <c r="D53" s="20">
        <f t="shared" si="8"/>
        <v>2667181.8295770348</v>
      </c>
      <c r="E53" s="20">
        <f t="shared" si="8"/>
        <v>3112457.6762391031</v>
      </c>
      <c r="F53" s="20">
        <f t="shared" si="8"/>
        <v>337752.98623598757</v>
      </c>
      <c r="G53" s="20">
        <f t="shared" si="8"/>
        <v>11101.247281456037</v>
      </c>
      <c r="H53" s="20">
        <f t="shared" si="8"/>
        <v>58109.783974067701</v>
      </c>
      <c r="I53" s="20">
        <f t="shared" si="8"/>
        <v>9802.3735183646295</v>
      </c>
      <c r="J53" s="20">
        <f t="shared" si="8"/>
        <v>42319.062354737747</v>
      </c>
      <c r="K53" s="20">
        <f t="shared" si="8"/>
        <v>8899.9893828608074</v>
      </c>
      <c r="L53" s="28">
        <f t="shared" si="9"/>
        <v>6264437.3998933993</v>
      </c>
    </row>
    <row r="54" spans="2:12" x14ac:dyDescent="0.3">
      <c r="B54" s="18" t="s">
        <v>11</v>
      </c>
      <c r="C54" s="20">
        <f t="shared" si="8"/>
        <v>204569.92993117255</v>
      </c>
      <c r="D54" s="20">
        <f t="shared" si="8"/>
        <v>32453637.443316154</v>
      </c>
      <c r="E54" s="20">
        <f t="shared" si="8"/>
        <v>37871648.592607766</v>
      </c>
      <c r="F54" s="20">
        <f t="shared" si="8"/>
        <v>4109698.4236872774</v>
      </c>
      <c r="G54" s="20">
        <f t="shared" si="8"/>
        <v>135077.3503500158</v>
      </c>
      <c r="H54" s="20">
        <f t="shared" si="8"/>
        <v>707066.10253972828</v>
      </c>
      <c r="I54" s="20">
        <f t="shared" si="8"/>
        <v>119272.96171608116</v>
      </c>
      <c r="J54" s="20">
        <f t="shared" si="8"/>
        <v>514928.33798269561</v>
      </c>
      <c r="K54" s="20">
        <f t="shared" si="8"/>
        <v>108292.96506062799</v>
      </c>
      <c r="L54" s="28">
        <f t="shared" si="9"/>
        <v>76224192.107191533</v>
      </c>
    </row>
    <row r="55" spans="2:12" x14ac:dyDescent="0.3">
      <c r="B55" s="18" t="s">
        <v>12</v>
      </c>
      <c r="C55" s="20">
        <f t="shared" si="8"/>
        <v>1041446.0775112916</v>
      </c>
      <c r="D55" s="20">
        <f t="shared" si="8"/>
        <v>165218384.87057582</v>
      </c>
      <c r="E55" s="20">
        <f t="shared" si="8"/>
        <v>192800964.87752327</v>
      </c>
      <c r="F55" s="20">
        <f t="shared" si="8"/>
        <v>20922084.220997032</v>
      </c>
      <c r="G55" s="20">
        <f t="shared" si="8"/>
        <v>687665.95721068466</v>
      </c>
      <c r="H55" s="20">
        <f t="shared" si="8"/>
        <v>3599606.3511335645</v>
      </c>
      <c r="I55" s="20">
        <f t="shared" si="8"/>
        <v>607207.31621778291</v>
      </c>
      <c r="J55" s="20">
        <f t="shared" si="8"/>
        <v>2621451.2463875548</v>
      </c>
      <c r="K55" s="20">
        <f t="shared" si="8"/>
        <v>551309.1964317708</v>
      </c>
      <c r="L55" s="28">
        <f t="shared" si="9"/>
        <v>388050120.11398882</v>
      </c>
    </row>
    <row r="56" spans="2:12" x14ac:dyDescent="0.3">
      <c r="B56" s="18" t="s">
        <v>13</v>
      </c>
      <c r="C56" s="20">
        <f t="shared" si="8"/>
        <v>585700.44694669219</v>
      </c>
      <c r="D56" s="20">
        <f t="shared" si="8"/>
        <v>92917419.300047889</v>
      </c>
      <c r="E56" s="20">
        <f t="shared" si="8"/>
        <v>108429628.5126625</v>
      </c>
      <c r="F56" s="20">
        <f t="shared" si="8"/>
        <v>11766402.835351247</v>
      </c>
      <c r="G56" s="20">
        <f t="shared" si="8"/>
        <v>386737.50584456546</v>
      </c>
      <c r="H56" s="20">
        <f t="shared" si="8"/>
        <v>2024388.1024826476</v>
      </c>
      <c r="I56" s="20">
        <f t="shared" si="8"/>
        <v>341488.24809818435</v>
      </c>
      <c r="J56" s="20">
        <f t="shared" si="8"/>
        <v>1474281.9621801369</v>
      </c>
      <c r="K56" s="20">
        <f t="shared" si="8"/>
        <v>310051.61930950655</v>
      </c>
      <c r="L56" s="28">
        <f t="shared" si="9"/>
        <v>218236098.5329234</v>
      </c>
    </row>
    <row r="57" spans="2:12" x14ac:dyDescent="0.3">
      <c r="B57" s="18" t="s">
        <v>15</v>
      </c>
      <c r="C57" s="20">
        <f t="shared" si="8"/>
        <v>704563.83801703574</v>
      </c>
      <c r="D57" s="20">
        <f t="shared" si="8"/>
        <v>111774293.33025314</v>
      </c>
      <c r="E57" s="20">
        <f t="shared" si="8"/>
        <v>130434585.83291143</v>
      </c>
      <c r="F57" s="20">
        <f t="shared" si="8"/>
        <v>14154303.594178651</v>
      </c>
      <c r="G57" s="20">
        <f t="shared" si="8"/>
        <v>465222.90164443542</v>
      </c>
      <c r="H57" s="20">
        <f t="shared" si="8"/>
        <v>2435222.0636960091</v>
      </c>
      <c r="I57" s="20">
        <f t="shared" si="8"/>
        <v>410790.65582422004</v>
      </c>
      <c r="J57" s="20">
        <f t="shared" si="8"/>
        <v>1773476.1224921243</v>
      </c>
      <c r="K57" s="20">
        <f t="shared" si="8"/>
        <v>372974.20553955156</v>
      </c>
      <c r="L57" s="28">
        <f t="shared" si="9"/>
        <v>262525432.54455662</v>
      </c>
    </row>
    <row r="58" spans="2:12" x14ac:dyDescent="0.3">
      <c r="B58" s="18" t="s">
        <v>24</v>
      </c>
      <c r="C58" s="20">
        <f t="shared" si="8"/>
        <v>106859.69943443568</v>
      </c>
      <c r="D58" s="20">
        <f t="shared" si="8"/>
        <v>16952569.441235643</v>
      </c>
      <c r="E58" s="20">
        <f t="shared" si="8"/>
        <v>19782736.333997041</v>
      </c>
      <c r="F58" s="20">
        <f t="shared" si="8"/>
        <v>2146753.1345841112</v>
      </c>
      <c r="G58" s="20">
        <f t="shared" si="8"/>
        <v>70559.368445103741</v>
      </c>
      <c r="H58" s="20">
        <f t="shared" si="8"/>
        <v>369344.95320546057</v>
      </c>
      <c r="I58" s="20">
        <f t="shared" si="8"/>
        <v>62303.745442566258</v>
      </c>
      <c r="J58" s="20">
        <f t="shared" si="8"/>
        <v>268979.3531513529</v>
      </c>
      <c r="K58" s="20">
        <f t="shared" si="8"/>
        <v>56568.204824316061</v>
      </c>
      <c r="L58" s="28">
        <f t="shared" si="9"/>
        <v>39816674.234320037</v>
      </c>
    </row>
    <row r="59" spans="2:12" x14ac:dyDescent="0.3">
      <c r="B59" s="18" t="s">
        <v>25</v>
      </c>
      <c r="C59" s="20">
        <f t="shared" si="8"/>
        <v>3587895.5544482474</v>
      </c>
      <c r="D59" s="20">
        <f t="shared" si="8"/>
        <v>569195392.24423409</v>
      </c>
      <c r="E59" s="20">
        <f t="shared" si="8"/>
        <v>664220394.80954146</v>
      </c>
      <c r="F59" s="20">
        <f t="shared" si="8"/>
        <v>72078866.671321437</v>
      </c>
      <c r="G59" s="20">
        <f t="shared" si="8"/>
        <v>2369084.3761374326</v>
      </c>
      <c r="H59" s="20">
        <f t="shared" si="8"/>
        <v>12401037.272960264</v>
      </c>
      <c r="I59" s="20">
        <f t="shared" si="8"/>
        <v>2091895.5647635187</v>
      </c>
      <c r="J59" s="20">
        <f t="shared" si="8"/>
        <v>9031186.0366239157</v>
      </c>
      <c r="K59" s="20">
        <f t="shared" si="8"/>
        <v>1899320.4331143484</v>
      </c>
      <c r="L59" s="28">
        <f t="shared" si="9"/>
        <v>1336875072.9631448</v>
      </c>
    </row>
    <row r="60" spans="2:12" x14ac:dyDescent="0.3">
      <c r="B60" s="18" t="s">
        <v>27</v>
      </c>
      <c r="C60" s="20">
        <f t="shared" ref="C60:K66" si="10">+$L60*C$67/$L$67</f>
        <v>59697.752483529432</v>
      </c>
      <c r="D60" s="20">
        <f t="shared" si="10"/>
        <v>9470645.1526533291</v>
      </c>
      <c r="E60" s="20">
        <f t="shared" si="10"/>
        <v>11051733.285460707</v>
      </c>
      <c r="F60" s="20">
        <f t="shared" si="10"/>
        <v>1199295.3185337582</v>
      </c>
      <c r="G60" s="20">
        <f t="shared" si="10"/>
        <v>39418.375076138014</v>
      </c>
      <c r="H60" s="20">
        <f t="shared" si="10"/>
        <v>206336.56761339345</v>
      </c>
      <c r="I60" s="20">
        <f t="shared" si="10"/>
        <v>34806.326369177157</v>
      </c>
      <c r="J60" s="20">
        <f t="shared" si="10"/>
        <v>150266.77908130793</v>
      </c>
      <c r="K60" s="20">
        <f t="shared" si="10"/>
        <v>31602.13539727938</v>
      </c>
      <c r="L60" s="28">
        <f t="shared" si="9"/>
        <v>22243801.692668624</v>
      </c>
    </row>
    <row r="61" spans="2:12" x14ac:dyDescent="0.3">
      <c r="B61" s="18" t="s">
        <v>28</v>
      </c>
      <c r="C61" s="20">
        <f t="shared" si="10"/>
        <v>212904.87551778529</v>
      </c>
      <c r="D61" s="20">
        <f t="shared" si="10"/>
        <v>33775920.255206972</v>
      </c>
      <c r="E61" s="20">
        <f t="shared" si="10"/>
        <v>39414681.483125493</v>
      </c>
      <c r="F61" s="20">
        <f t="shared" si="10"/>
        <v>4277142.9388726046</v>
      </c>
      <c r="G61" s="20">
        <f t="shared" si="10"/>
        <v>140580.90781581737</v>
      </c>
      <c r="H61" s="20">
        <f t="shared" si="10"/>
        <v>735874.62534065905</v>
      </c>
      <c r="I61" s="20">
        <f t="shared" si="10"/>
        <v>124132.58916079973</v>
      </c>
      <c r="J61" s="20">
        <f t="shared" si="10"/>
        <v>535908.44820483192</v>
      </c>
      <c r="K61" s="20">
        <f t="shared" si="10"/>
        <v>112705.22629323912</v>
      </c>
      <c r="L61" s="28">
        <f t="shared" si="9"/>
        <v>79329851.349538207</v>
      </c>
    </row>
    <row r="62" spans="2:12" x14ac:dyDescent="0.3">
      <c r="B62" s="18" t="s">
        <v>29</v>
      </c>
      <c r="C62" s="20">
        <f t="shared" si="10"/>
        <v>517618.19294673798</v>
      </c>
      <c r="D62" s="20">
        <f t="shared" si="10"/>
        <v>82116629.622006416</v>
      </c>
      <c r="E62" s="20">
        <f t="shared" si="10"/>
        <v>95825688.140065074</v>
      </c>
      <c r="F62" s="20">
        <f t="shared" si="10"/>
        <v>10398667.450004894</v>
      </c>
      <c r="G62" s="20">
        <f t="shared" si="10"/>
        <v>341782.85156441445</v>
      </c>
      <c r="H62" s="20">
        <f t="shared" si="10"/>
        <v>1789071.7292304123</v>
      </c>
      <c r="I62" s="20">
        <f t="shared" si="10"/>
        <v>301793.40107148234</v>
      </c>
      <c r="J62" s="20">
        <f t="shared" si="10"/>
        <v>1302910.3343455514</v>
      </c>
      <c r="K62" s="20">
        <f t="shared" si="10"/>
        <v>274010.98931004165</v>
      </c>
      <c r="L62" s="28">
        <f t="shared" si="9"/>
        <v>192868172.71054506</v>
      </c>
    </row>
    <row r="63" spans="2:12" x14ac:dyDescent="0.3">
      <c r="B63" s="18" t="s">
        <v>30</v>
      </c>
      <c r="C63" s="20">
        <f t="shared" si="10"/>
        <v>397275.62670949916</v>
      </c>
      <c r="D63" s="20">
        <f t="shared" si="10"/>
        <v>63025094.443910457</v>
      </c>
      <c r="E63" s="20">
        <f t="shared" si="10"/>
        <v>73546893.887152523</v>
      </c>
      <c r="F63" s="20">
        <f t="shared" si="10"/>
        <v>7981050.8680660911</v>
      </c>
      <c r="G63" s="20">
        <f t="shared" si="10"/>
        <v>262320.7576627513</v>
      </c>
      <c r="H63" s="20">
        <f t="shared" si="10"/>
        <v>1373125.214962054</v>
      </c>
      <c r="I63" s="20">
        <f t="shared" si="10"/>
        <v>231628.57137017476</v>
      </c>
      <c r="J63" s="20">
        <f t="shared" si="10"/>
        <v>999992.90341147978</v>
      </c>
      <c r="K63" s="20">
        <f t="shared" si="10"/>
        <v>210305.37370358227</v>
      </c>
      <c r="L63" s="28">
        <f t="shared" si="9"/>
        <v>148027687.64694864</v>
      </c>
    </row>
    <row r="64" spans="2:12" x14ac:dyDescent="0.3">
      <c r="B64" s="18" t="s">
        <v>31</v>
      </c>
      <c r="C64" s="20">
        <f t="shared" si="10"/>
        <v>646368.27042938652</v>
      </c>
      <c r="D64" s="20">
        <f t="shared" si="10"/>
        <v>102541959.66355537</v>
      </c>
      <c r="E64" s="20">
        <f t="shared" si="10"/>
        <v>119660949.22821431</v>
      </c>
      <c r="F64" s="20">
        <f t="shared" si="10"/>
        <v>12985186.351673776</v>
      </c>
      <c r="G64" s="20">
        <f t="shared" si="10"/>
        <v>426796.41797452501</v>
      </c>
      <c r="H64" s="20">
        <f t="shared" si="10"/>
        <v>2234077.5789072104</v>
      </c>
      <c r="I64" s="20">
        <f t="shared" si="10"/>
        <v>376860.16708004032</v>
      </c>
      <c r="J64" s="20">
        <f t="shared" si="10"/>
        <v>1626990.5324254411</v>
      </c>
      <c r="K64" s="20">
        <f t="shared" si="10"/>
        <v>342167.280154315</v>
      </c>
      <c r="L64" s="28">
        <f t="shared" si="9"/>
        <v>240841355.49041441</v>
      </c>
    </row>
    <row r="65" spans="2:13" x14ac:dyDescent="0.3">
      <c r="B65" s="18" t="s">
        <v>32</v>
      </c>
      <c r="C65" s="20">
        <f t="shared" si="10"/>
        <v>154340.00437030185</v>
      </c>
      <c r="D65" s="20">
        <f t="shared" si="10"/>
        <v>24484999.073514115</v>
      </c>
      <c r="E65" s="20">
        <f t="shared" si="10"/>
        <v>28572676.400975469</v>
      </c>
      <c r="F65" s="20">
        <f t="shared" si="10"/>
        <v>3100606.5890814154</v>
      </c>
      <c r="G65" s="20">
        <f t="shared" si="10"/>
        <v>101910.57332015745</v>
      </c>
      <c r="H65" s="20">
        <f t="shared" si="10"/>
        <v>533453.69670307962</v>
      </c>
      <c r="I65" s="20">
        <f t="shared" si="10"/>
        <v>89986.780748824487</v>
      </c>
      <c r="J65" s="20">
        <f t="shared" si="10"/>
        <v>388493.27445817925</v>
      </c>
      <c r="K65" s="20">
        <f t="shared" si="10"/>
        <v>81702.80307743013</v>
      </c>
      <c r="L65" s="28">
        <f t="shared" si="9"/>
        <v>57508169.196248978</v>
      </c>
    </row>
    <row r="66" spans="2:13" x14ac:dyDescent="0.3">
      <c r="B66" s="18" t="s">
        <v>33</v>
      </c>
      <c r="C66" s="20">
        <f t="shared" si="10"/>
        <v>24559.588389581753</v>
      </c>
      <c r="D66" s="20">
        <f t="shared" si="10"/>
        <v>3896212.7895371988</v>
      </c>
      <c r="E66" s="20">
        <f t="shared" si="10"/>
        <v>4546670.6733597936</v>
      </c>
      <c r="F66" s="20">
        <f t="shared" si="10"/>
        <v>493388.74841004825</v>
      </c>
      <c r="G66" s="20">
        <f t="shared" si="10"/>
        <v>16216.675278071745</v>
      </c>
      <c r="H66" s="20">
        <f t="shared" si="10"/>
        <v>84886.632402152492</v>
      </c>
      <c r="I66" s="20">
        <f t="shared" si="10"/>
        <v>14319.283614844349</v>
      </c>
      <c r="J66" s="20">
        <f t="shared" si="10"/>
        <v>61819.584311542385</v>
      </c>
      <c r="K66" s="20">
        <f t="shared" si="10"/>
        <v>13001.083044175717</v>
      </c>
      <c r="L66" s="28">
        <f t="shared" si="9"/>
        <v>9151075.0583474096</v>
      </c>
    </row>
    <row r="67" spans="2:13" s="26" customFormat="1" x14ac:dyDescent="0.3">
      <c r="B67" s="24" t="s">
        <v>45</v>
      </c>
      <c r="C67" s="25">
        <f t="shared" ref="C67:K67" si="11">-SUMIF($A$7:$A$38,C49,$K$7:$K$38)</f>
        <v>9204471.283808006</v>
      </c>
      <c r="D67" s="25">
        <f t="shared" si="11"/>
        <v>1460227189.8055768</v>
      </c>
      <c r="E67" s="25">
        <f t="shared" si="11"/>
        <v>1704006556.8698614</v>
      </c>
      <c r="F67" s="25">
        <f t="shared" si="11"/>
        <v>184912812.64390936</v>
      </c>
      <c r="G67" s="25">
        <f t="shared" si="11"/>
        <v>6077704.5424413392</v>
      </c>
      <c r="H67" s="25">
        <f t="shared" si="11"/>
        <v>31813911.452043064</v>
      </c>
      <c r="I67" s="25">
        <f t="shared" si="11"/>
        <v>5366597.8739874922</v>
      </c>
      <c r="J67" s="25">
        <f t="shared" si="11"/>
        <v>23168816.168511942</v>
      </c>
      <c r="K67" s="25">
        <f t="shared" si="11"/>
        <v>4872561.1211498193</v>
      </c>
      <c r="L67" s="25">
        <f>SUM(L50:L66)</f>
        <v>3429650621.7612896</v>
      </c>
      <c r="M67" s="29">
        <f>+L67-SUM(C50:K66)</f>
        <v>0</v>
      </c>
    </row>
  </sheetData>
  <pageMargins left="0.7" right="0.7" top="0.75" bottom="0.75" header="0.3" footer="0.3"/>
  <pageSetup scale="34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778F03-607E-4E4B-B812-9485CCFA2FE0}">
  <dimension ref="A1:D29"/>
  <sheetViews>
    <sheetView showGridLines="0" zoomScale="85" zoomScaleNormal="85" workbookViewId="0">
      <selection activeCell="A26" sqref="A26"/>
    </sheetView>
  </sheetViews>
  <sheetFormatPr baseColWidth="10" defaultRowHeight="14.4" x14ac:dyDescent="0.3"/>
  <cols>
    <col min="1" max="1" width="15.296875" customWidth="1"/>
    <col min="2" max="2" width="20.796875" customWidth="1"/>
    <col min="3" max="3" width="28" customWidth="1"/>
    <col min="4" max="4" width="16.19921875" customWidth="1"/>
  </cols>
  <sheetData>
    <row r="1" spans="1:4" ht="17.850000000000001" x14ac:dyDescent="0.35">
      <c r="A1" s="1">
        <v>43282</v>
      </c>
    </row>
    <row r="2" spans="1:4" x14ac:dyDescent="0.3">
      <c r="A2" s="2"/>
    </row>
    <row r="3" spans="1:4" x14ac:dyDescent="0.3">
      <c r="A3" s="31"/>
      <c r="B3" s="31" t="s">
        <v>52</v>
      </c>
      <c r="C3" s="31" t="s">
        <v>53</v>
      </c>
      <c r="D3" s="31" t="s">
        <v>54</v>
      </c>
    </row>
    <row r="4" spans="1:4" x14ac:dyDescent="0.3">
      <c r="A4" s="31"/>
      <c r="B4" s="32" t="s">
        <v>55</v>
      </c>
      <c r="C4" s="31"/>
      <c r="D4" s="31"/>
    </row>
    <row r="5" spans="1:4" x14ac:dyDescent="0.3">
      <c r="A5" s="31"/>
      <c r="B5" s="31" t="s">
        <v>56</v>
      </c>
      <c r="C5" s="31"/>
      <c r="D5" s="31"/>
    </row>
    <row r="6" spans="1:4" x14ac:dyDescent="0.3">
      <c r="A6" s="4" t="s">
        <v>35</v>
      </c>
      <c r="B6" s="4" t="s">
        <v>0</v>
      </c>
      <c r="C6" s="4" t="s">
        <v>1</v>
      </c>
      <c r="D6" s="4" t="s">
        <v>2</v>
      </c>
    </row>
    <row r="7" spans="1:4" x14ac:dyDescent="0.3">
      <c r="A7" t="s">
        <v>4</v>
      </c>
      <c r="B7" s="3">
        <v>147897667.07087505</v>
      </c>
      <c r="C7" s="3">
        <v>151828121.03367415</v>
      </c>
      <c r="D7" s="3">
        <v>3930453.9627991184</v>
      </c>
    </row>
    <row r="8" spans="1:4" x14ac:dyDescent="0.3">
      <c r="A8" t="s">
        <v>5</v>
      </c>
      <c r="B8" s="3">
        <v>620308329.15074587</v>
      </c>
      <c r="C8" s="3">
        <v>623971796.9293654</v>
      </c>
      <c r="D8" s="3">
        <v>3663467.7786196643</v>
      </c>
    </row>
    <row r="9" spans="1:4" ht="15" customHeight="1" x14ac:dyDescent="0.3">
      <c r="A9" t="s">
        <v>8</v>
      </c>
      <c r="B9" s="3">
        <v>32026591.64806607</v>
      </c>
      <c r="C9" s="3">
        <v>32570726.98375351</v>
      </c>
      <c r="D9" s="3">
        <v>544135.33568742068</v>
      </c>
    </row>
    <row r="10" spans="1:4" x14ac:dyDescent="0.3">
      <c r="A10" t="s">
        <v>13</v>
      </c>
      <c r="B10" s="3">
        <v>16780.059916925369</v>
      </c>
      <c r="C10" s="3">
        <v>12734.004850869116</v>
      </c>
      <c r="D10" s="3">
        <v>-4046.0550660562531</v>
      </c>
    </row>
    <row r="11" spans="1:4" x14ac:dyDescent="0.3">
      <c r="A11" t="s">
        <v>14</v>
      </c>
      <c r="B11" s="3">
        <v>22796.024234242264</v>
      </c>
      <c r="C11" s="3">
        <v>22668.154768801644</v>
      </c>
      <c r="D11" s="3">
        <v>-127.86946544062084</v>
      </c>
    </row>
    <row r="12" spans="1:4" x14ac:dyDescent="0.3">
      <c r="A12" t="s">
        <v>16</v>
      </c>
      <c r="B12" s="3">
        <v>628226.01089962001</v>
      </c>
      <c r="C12" s="3">
        <v>637920.86422567116</v>
      </c>
      <c r="D12" s="3">
        <v>9694.8533260509703</v>
      </c>
    </row>
    <row r="13" spans="1:4" x14ac:dyDescent="0.3">
      <c r="A13" t="s">
        <v>18</v>
      </c>
      <c r="B13" s="3">
        <v>-38860.781468248279</v>
      </c>
      <c r="C13" s="3">
        <v>-38861.463911259372</v>
      </c>
      <c r="D13" s="3">
        <v>-0.68244301109239558</v>
      </c>
    </row>
    <row r="14" spans="1:4" x14ac:dyDescent="0.3">
      <c r="A14" t="s">
        <v>19</v>
      </c>
      <c r="B14" s="3">
        <v>635425.85807157087</v>
      </c>
      <c r="C14" s="3">
        <v>696795.23588910943</v>
      </c>
      <c r="D14" s="3">
        <v>61369.377817538567</v>
      </c>
    </row>
    <row r="15" spans="1:4" x14ac:dyDescent="0.3">
      <c r="A15" t="s">
        <v>20</v>
      </c>
      <c r="B15" s="3">
        <v>-4880880.6556559457</v>
      </c>
      <c r="C15" s="3">
        <v>-4934273.2518028757</v>
      </c>
      <c r="D15" s="3">
        <v>-53392.596146929129</v>
      </c>
    </row>
    <row r="16" spans="1:4" x14ac:dyDescent="0.3">
      <c r="A16" t="s">
        <v>21</v>
      </c>
      <c r="B16" s="3">
        <v>-12830.36341189011</v>
      </c>
      <c r="C16" s="3">
        <v>-48201.137140467064</v>
      </c>
      <c r="D16" s="3">
        <v>-35370.773728577085</v>
      </c>
    </row>
    <row r="17" spans="1:4" x14ac:dyDescent="0.3">
      <c r="A17" t="s">
        <v>22</v>
      </c>
      <c r="B17" s="3">
        <v>87587593.419707641</v>
      </c>
      <c r="C17" s="3">
        <v>88797124.306710616</v>
      </c>
      <c r="D17" s="3">
        <v>1209530.8870029622</v>
      </c>
    </row>
    <row r="18" spans="1:4" x14ac:dyDescent="0.3">
      <c r="A18" t="s">
        <v>23</v>
      </c>
      <c r="B18" s="3">
        <v>40424321.017175794</v>
      </c>
      <c r="C18" s="3">
        <v>40876030.715126343</v>
      </c>
      <c r="D18" s="3">
        <v>451709.69795054127</v>
      </c>
    </row>
    <row r="19" spans="1:4" x14ac:dyDescent="0.3">
      <c r="A19" t="s">
        <v>26</v>
      </c>
      <c r="B19" s="3">
        <v>499997.49432153406</v>
      </c>
      <c r="C19" s="3">
        <v>500233.62668280117</v>
      </c>
      <c r="D19" s="3">
        <v>236.13236126712877</v>
      </c>
    </row>
    <row r="20" spans="1:4" x14ac:dyDescent="0.3">
      <c r="A20" t="s">
        <v>29</v>
      </c>
      <c r="B20" s="3">
        <v>1693956.7322516066</v>
      </c>
      <c r="C20" s="3">
        <v>1389634.3470074639</v>
      </c>
      <c r="D20" s="3">
        <v>-304322.38524414256</v>
      </c>
    </row>
    <row r="21" spans="1:4" x14ac:dyDescent="0.3">
      <c r="A21" t="s">
        <v>30</v>
      </c>
      <c r="B21" s="3">
        <v>2318327.1598291905</v>
      </c>
      <c r="C21" s="3">
        <v>2033953.0187512103</v>
      </c>
      <c r="D21" s="3">
        <v>-284374.14107798005</v>
      </c>
    </row>
    <row r="22" spans="1:4" x14ac:dyDescent="0.3">
      <c r="A22" s="33" t="s">
        <v>34</v>
      </c>
      <c r="B22" s="5">
        <v>929127439.84555912</v>
      </c>
      <c r="C22" s="5">
        <v>938316403.36795127</v>
      </c>
      <c r="D22" s="5">
        <v>9188963.5223924257</v>
      </c>
    </row>
    <row r="23" spans="1:4" x14ac:dyDescent="0.3">
      <c r="B23" s="3"/>
      <c r="C23" s="3"/>
      <c r="D23" s="3"/>
    </row>
    <row r="24" spans="1:4" x14ac:dyDescent="0.3">
      <c r="B24" s="3"/>
      <c r="C24" s="3"/>
      <c r="D24" s="3"/>
    </row>
    <row r="25" spans="1:4" x14ac:dyDescent="0.3">
      <c r="B25" s="3"/>
      <c r="C25" s="3"/>
      <c r="D25" s="3"/>
    </row>
    <row r="26" spans="1:4" x14ac:dyDescent="0.3">
      <c r="B26" s="3"/>
      <c r="C26" s="3"/>
      <c r="D26" s="3"/>
    </row>
    <row r="27" spans="1:4" x14ac:dyDescent="0.3">
      <c r="B27" s="3"/>
      <c r="C27" s="3"/>
      <c r="D27" s="3"/>
    </row>
    <row r="28" spans="1:4" x14ac:dyDescent="0.3">
      <c r="B28" s="3"/>
      <c r="C28" s="3"/>
      <c r="D28" s="3"/>
    </row>
    <row r="29" spans="1:4" x14ac:dyDescent="0.3">
      <c r="A29" s="10"/>
      <c r="B29" s="3"/>
      <c r="C29" s="3"/>
      <c r="D29" s="3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82EA4B-66B4-4D00-8B7E-78EDB9991127}">
  <dimension ref="A1:D36"/>
  <sheetViews>
    <sheetView showGridLines="0" zoomScale="85" zoomScaleNormal="85" workbookViewId="0">
      <selection activeCell="A13" sqref="A13"/>
    </sheetView>
  </sheetViews>
  <sheetFormatPr baseColWidth="10" defaultRowHeight="14.4" x14ac:dyDescent="0.3"/>
  <cols>
    <col min="1" max="1" width="15.296875" customWidth="1"/>
    <col min="2" max="2" width="20.796875" customWidth="1"/>
    <col min="3" max="3" width="28" customWidth="1"/>
    <col min="4" max="4" width="16.19921875" customWidth="1"/>
  </cols>
  <sheetData>
    <row r="1" spans="1:4" ht="17.850000000000001" x14ac:dyDescent="0.35">
      <c r="A1" s="1">
        <v>43313</v>
      </c>
    </row>
    <row r="2" spans="1:4" x14ac:dyDescent="0.3">
      <c r="A2" s="2"/>
    </row>
    <row r="3" spans="1:4" x14ac:dyDescent="0.3">
      <c r="A3" s="31"/>
      <c r="B3" s="31" t="s">
        <v>52</v>
      </c>
      <c r="C3" s="31" t="s">
        <v>53</v>
      </c>
      <c r="D3" s="31" t="s">
        <v>54</v>
      </c>
    </row>
    <row r="4" spans="1:4" x14ac:dyDescent="0.3">
      <c r="A4" s="31"/>
      <c r="B4" s="32" t="s">
        <v>55</v>
      </c>
      <c r="C4" s="31"/>
      <c r="D4" s="31"/>
    </row>
    <row r="5" spans="1:4" x14ac:dyDescent="0.3">
      <c r="A5" s="31"/>
      <c r="B5" s="31" t="s">
        <v>56</v>
      </c>
      <c r="C5" s="31"/>
      <c r="D5" s="31"/>
    </row>
    <row r="6" spans="1:4" x14ac:dyDescent="0.3">
      <c r="A6" s="4" t="s">
        <v>35</v>
      </c>
      <c r="B6" s="4" t="s">
        <v>0</v>
      </c>
      <c r="C6" s="4" t="s">
        <v>1</v>
      </c>
      <c r="D6" s="4" t="s">
        <v>2</v>
      </c>
    </row>
    <row r="7" spans="1:4" x14ac:dyDescent="0.3">
      <c r="A7" t="s">
        <v>4</v>
      </c>
      <c r="B7" s="3">
        <v>3363537954.543231</v>
      </c>
      <c r="C7" s="3">
        <v>3438913898.1959119</v>
      </c>
      <c r="D7" s="3">
        <v>75375943.652676418</v>
      </c>
    </row>
    <row r="8" spans="1:4" x14ac:dyDescent="0.3">
      <c r="A8" t="s">
        <v>46</v>
      </c>
      <c r="B8" s="3">
        <v>286180292.29427415</v>
      </c>
      <c r="C8" s="3">
        <v>291824674.52604651</v>
      </c>
      <c r="D8" s="3">
        <v>5644382.231772366</v>
      </c>
    </row>
    <row r="9" spans="1:4" x14ac:dyDescent="0.3">
      <c r="A9" t="s">
        <v>5</v>
      </c>
      <c r="B9" s="3">
        <v>1943443839.5536909</v>
      </c>
      <c r="C9" s="3">
        <v>1958790723.0906165</v>
      </c>
      <c r="D9" s="3">
        <v>15346883.536927689</v>
      </c>
    </row>
    <row r="10" spans="1:4" x14ac:dyDescent="0.3">
      <c r="A10" t="s">
        <v>8</v>
      </c>
      <c r="B10" s="3">
        <v>646381730.99862373</v>
      </c>
      <c r="C10" s="3">
        <v>657050438.85496652</v>
      </c>
      <c r="D10" s="3">
        <v>10668707.856343128</v>
      </c>
    </row>
    <row r="11" spans="1:4" x14ac:dyDescent="0.3">
      <c r="A11" t="s">
        <v>12</v>
      </c>
      <c r="B11" s="3">
        <v>194584504.7321603</v>
      </c>
      <c r="C11" s="3">
        <v>144492268.85768506</v>
      </c>
      <c r="D11" s="3">
        <v>-50092235.874475218</v>
      </c>
    </row>
    <row r="12" spans="1:4" x14ac:dyDescent="0.3">
      <c r="A12" t="s">
        <v>13</v>
      </c>
      <c r="B12" s="3">
        <v>16827.075045368649</v>
      </c>
      <c r="C12" s="3">
        <v>12753.73710027676</v>
      </c>
      <c r="D12" s="3">
        <v>-4073.3379450918892</v>
      </c>
    </row>
    <row r="13" spans="1:4" x14ac:dyDescent="0.3">
      <c r="A13" t="s">
        <v>14</v>
      </c>
      <c r="B13" s="3">
        <v>-1082928.6454401289</v>
      </c>
      <c r="C13" s="3">
        <v>-1087505.5434363335</v>
      </c>
      <c r="D13" s="3">
        <v>-4576.897996204727</v>
      </c>
    </row>
    <row r="14" spans="1:4" x14ac:dyDescent="0.3">
      <c r="A14" t="s">
        <v>15</v>
      </c>
      <c r="B14" s="3">
        <v>41544670.18569281</v>
      </c>
      <c r="C14" s="3">
        <v>35154045.275736369</v>
      </c>
      <c r="D14" s="3">
        <v>-6390624.9099564264</v>
      </c>
    </row>
    <row r="15" spans="1:4" x14ac:dyDescent="0.3">
      <c r="A15" t="s">
        <v>16</v>
      </c>
      <c r="B15" s="3">
        <v>20625906.657549124</v>
      </c>
      <c r="C15" s="3">
        <v>21028291.408108022</v>
      </c>
      <c r="D15" s="3">
        <v>402384.7505588996</v>
      </c>
    </row>
    <row r="16" spans="1:4" x14ac:dyDescent="0.3">
      <c r="A16" t="s">
        <v>17</v>
      </c>
      <c r="B16" s="3">
        <v>722464.73610320955</v>
      </c>
      <c r="C16" s="3">
        <v>724684.68599360262</v>
      </c>
      <c r="D16" s="3">
        <v>2219.9498903930926</v>
      </c>
    </row>
    <row r="17" spans="1:4" x14ac:dyDescent="0.3">
      <c r="A17" t="s">
        <v>18</v>
      </c>
      <c r="B17" s="3">
        <v>-197602.04305674596</v>
      </c>
      <c r="C17" s="3">
        <v>-200935.28890921827</v>
      </c>
      <c r="D17" s="3">
        <v>-3333.2458524723079</v>
      </c>
    </row>
    <row r="18" spans="1:4" x14ac:dyDescent="0.3">
      <c r="A18" t="s">
        <v>19</v>
      </c>
      <c r="B18" s="3">
        <v>3486099.9192143162</v>
      </c>
      <c r="C18" s="3">
        <v>3648554.3477630401</v>
      </c>
      <c r="D18" s="3">
        <v>162454.42854872375</v>
      </c>
    </row>
    <row r="19" spans="1:4" x14ac:dyDescent="0.3">
      <c r="A19" t="s">
        <v>20</v>
      </c>
      <c r="B19" s="3">
        <v>122446986.56787042</v>
      </c>
      <c r="C19" s="3">
        <v>126609820.40050577</v>
      </c>
      <c r="D19" s="3">
        <v>4162833.8326354162</v>
      </c>
    </row>
    <row r="20" spans="1:4" x14ac:dyDescent="0.3">
      <c r="A20" t="s">
        <v>21</v>
      </c>
      <c r="B20" s="3">
        <v>125278920.00714283</v>
      </c>
      <c r="C20" s="3">
        <v>126256763.60317081</v>
      </c>
      <c r="D20" s="3">
        <v>977843.59602805669</v>
      </c>
    </row>
    <row r="21" spans="1:4" x14ac:dyDescent="0.3">
      <c r="A21" t="s">
        <v>22</v>
      </c>
      <c r="B21" s="3">
        <v>125668363.69142535</v>
      </c>
      <c r="C21" s="3">
        <v>127398699.49595582</v>
      </c>
      <c r="D21" s="3">
        <v>1730335.8045305097</v>
      </c>
    </row>
    <row r="22" spans="1:4" x14ac:dyDescent="0.3">
      <c r="A22" t="s">
        <v>23</v>
      </c>
      <c r="B22" s="3">
        <v>218896420.55507508</v>
      </c>
      <c r="C22" s="3">
        <v>223230681.71594003</v>
      </c>
      <c r="D22" s="3">
        <v>4334261.1608649278</v>
      </c>
    </row>
    <row r="23" spans="1:4" x14ac:dyDescent="0.3">
      <c r="A23" t="s">
        <v>25</v>
      </c>
      <c r="B23" s="3">
        <v>225849699.65941343</v>
      </c>
      <c r="C23" s="3">
        <v>191929494.10880244</v>
      </c>
      <c r="D23" s="3">
        <v>-33920205.550610825</v>
      </c>
    </row>
    <row r="24" spans="1:4" x14ac:dyDescent="0.3">
      <c r="A24" t="s">
        <v>26</v>
      </c>
      <c r="B24" s="3">
        <v>2499567.0745626953</v>
      </c>
      <c r="C24" s="3">
        <v>2516683.6252135076</v>
      </c>
      <c r="D24" s="3">
        <v>17116.550650812511</v>
      </c>
    </row>
    <row r="25" spans="1:4" x14ac:dyDescent="0.3">
      <c r="A25" t="s">
        <v>28</v>
      </c>
      <c r="B25" s="3">
        <v>129371685.92265393</v>
      </c>
      <c r="C25" s="3">
        <v>119304372.00278623</v>
      </c>
      <c r="D25" s="3">
        <v>-10067313.919867722</v>
      </c>
    </row>
    <row r="26" spans="1:4" x14ac:dyDescent="0.3">
      <c r="A26" t="s">
        <v>29</v>
      </c>
      <c r="B26" s="3">
        <v>43187905.531580135</v>
      </c>
      <c r="C26" s="3">
        <v>32443528.42954712</v>
      </c>
      <c r="D26" s="3">
        <v>-10744377.102033004</v>
      </c>
    </row>
    <row r="27" spans="1:4" x14ac:dyDescent="0.3">
      <c r="A27" t="s">
        <v>30</v>
      </c>
      <c r="B27" s="3">
        <v>70077090.238013729</v>
      </c>
      <c r="C27" s="3">
        <v>52032180.459234223</v>
      </c>
      <c r="D27" s="3">
        <v>-18044909.778779496</v>
      </c>
    </row>
    <row r="28" spans="1:4" x14ac:dyDescent="0.3">
      <c r="A28" t="s">
        <v>31</v>
      </c>
      <c r="B28" s="3">
        <v>375134084.05543911</v>
      </c>
      <c r="C28" s="3">
        <v>363480456.05827469</v>
      </c>
      <c r="D28" s="3">
        <v>-11653627.997164631</v>
      </c>
    </row>
    <row r="29" spans="1:4" x14ac:dyDescent="0.3">
      <c r="A29" s="33" t="s">
        <v>34</v>
      </c>
      <c r="B29" s="5">
        <v>7937654483.3102646</v>
      </c>
      <c r="C29" s="5">
        <v>7915554572.0470133</v>
      </c>
      <c r="D29" s="5">
        <v>-22099911.263253763</v>
      </c>
    </row>
    <row r="30" spans="1:4" x14ac:dyDescent="0.3">
      <c r="B30" s="3"/>
      <c r="C30" s="3"/>
      <c r="D30" s="3"/>
    </row>
    <row r="31" spans="1:4" x14ac:dyDescent="0.3">
      <c r="B31" s="3"/>
      <c r="C31" s="3"/>
      <c r="D31" s="3"/>
    </row>
    <row r="32" spans="1:4" x14ac:dyDescent="0.3">
      <c r="B32" s="3"/>
      <c r="C32" s="3"/>
      <c r="D32" s="3"/>
    </row>
    <row r="33" spans="2:4" x14ac:dyDescent="0.3">
      <c r="B33" s="3"/>
      <c r="C33" s="3"/>
      <c r="D33" s="3"/>
    </row>
    <row r="34" spans="2:4" x14ac:dyDescent="0.3">
      <c r="B34" s="3"/>
      <c r="C34" s="3"/>
      <c r="D34" s="3"/>
    </row>
    <row r="35" spans="2:4" x14ac:dyDescent="0.3">
      <c r="B35" s="3"/>
      <c r="C35" s="3"/>
      <c r="D35" s="3"/>
    </row>
    <row r="36" spans="2:4" x14ac:dyDescent="0.3">
      <c r="B36" s="3"/>
      <c r="C36" s="3"/>
      <c r="D36" s="3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289D80-B72B-43A8-9087-0A0ADA71C8AB}">
  <dimension ref="A1:D37"/>
  <sheetViews>
    <sheetView showGridLines="0" zoomScale="85" zoomScaleNormal="85" workbookViewId="0">
      <selection activeCell="E20" sqref="E20"/>
    </sheetView>
  </sheetViews>
  <sheetFormatPr baseColWidth="10" defaultRowHeight="14.4" x14ac:dyDescent="0.3"/>
  <cols>
    <col min="1" max="1" width="15.296875" customWidth="1"/>
    <col min="2" max="2" width="20.796875" customWidth="1"/>
    <col min="3" max="3" width="28" customWidth="1"/>
    <col min="4" max="4" width="16.19921875" customWidth="1"/>
  </cols>
  <sheetData>
    <row r="1" spans="1:4" ht="17.850000000000001" x14ac:dyDescent="0.35">
      <c r="A1" s="1">
        <v>43344</v>
      </c>
    </row>
    <row r="2" spans="1:4" x14ac:dyDescent="0.3">
      <c r="A2" s="2"/>
    </row>
    <row r="3" spans="1:4" x14ac:dyDescent="0.3">
      <c r="A3" s="31"/>
      <c r="B3" s="31" t="s">
        <v>52</v>
      </c>
      <c r="C3" s="31" t="s">
        <v>53</v>
      </c>
      <c r="D3" s="31" t="s">
        <v>54</v>
      </c>
    </row>
    <row r="4" spans="1:4" x14ac:dyDescent="0.3">
      <c r="A4" s="31"/>
      <c r="B4" s="32" t="s">
        <v>55</v>
      </c>
      <c r="C4" s="31"/>
      <c r="D4" s="31"/>
    </row>
    <row r="5" spans="1:4" x14ac:dyDescent="0.3">
      <c r="A5" s="31"/>
      <c r="B5" s="31" t="s">
        <v>56</v>
      </c>
      <c r="C5" s="31"/>
      <c r="D5" s="31"/>
    </row>
    <row r="6" spans="1:4" x14ac:dyDescent="0.3">
      <c r="A6" s="4" t="s">
        <v>35</v>
      </c>
      <c r="B6" s="4" t="s">
        <v>0</v>
      </c>
      <c r="C6" s="4" t="s">
        <v>1</v>
      </c>
      <c r="D6" s="4" t="s">
        <v>2</v>
      </c>
    </row>
    <row r="7" spans="1:4" x14ac:dyDescent="0.3">
      <c r="A7" t="s">
        <v>3</v>
      </c>
      <c r="B7" s="3">
        <v>593844925.52567518</v>
      </c>
      <c r="C7" s="3">
        <v>603049396.80948317</v>
      </c>
      <c r="D7" s="3">
        <v>9204471.283808006</v>
      </c>
    </row>
    <row r="8" spans="1:4" x14ac:dyDescent="0.3">
      <c r="A8" t="s">
        <v>4</v>
      </c>
      <c r="B8" s="3">
        <v>44027686010.271111</v>
      </c>
      <c r="C8" s="3">
        <v>44756108181.957947</v>
      </c>
      <c r="D8" s="3">
        <v>728422171.68686604</v>
      </c>
    </row>
    <row r="9" spans="1:4" x14ac:dyDescent="0.3">
      <c r="A9" t="s">
        <v>46</v>
      </c>
      <c r="B9" s="3">
        <v>56751990505.364891</v>
      </c>
      <c r="C9" s="3">
        <v>57644590988.524933</v>
      </c>
      <c r="D9" s="3">
        <v>892600483.16004062</v>
      </c>
    </row>
    <row r="10" spans="1:4" x14ac:dyDescent="0.3">
      <c r="A10" t="s">
        <v>5</v>
      </c>
      <c r="B10" s="3">
        <v>15688950180.263227</v>
      </c>
      <c r="C10" s="3">
        <v>15829739240.560097</v>
      </c>
      <c r="D10" s="3">
        <v>140789060.29687154</v>
      </c>
    </row>
    <row r="11" spans="1:4" x14ac:dyDescent="0.3">
      <c r="A11" t="s">
        <v>6</v>
      </c>
      <c r="B11" s="3">
        <v>195750376.14176276</v>
      </c>
      <c r="C11" s="3">
        <v>178973258.68118176</v>
      </c>
      <c r="D11" s="3">
        <v>-16777117.460581092</v>
      </c>
    </row>
    <row r="12" spans="1:4" x14ac:dyDescent="0.3">
      <c r="A12" t="s">
        <v>7</v>
      </c>
      <c r="B12" s="3">
        <v>373162637.70970488</v>
      </c>
      <c r="C12" s="3">
        <v>315581277.12216556</v>
      </c>
      <c r="D12" s="3">
        <v>-57581360.587539636</v>
      </c>
    </row>
    <row r="13" spans="1:4" x14ac:dyDescent="0.3">
      <c r="A13" t="s">
        <v>8</v>
      </c>
      <c r="B13" s="3">
        <v>8175583358.4739017</v>
      </c>
      <c r="C13" s="3">
        <v>8262939523.072443</v>
      </c>
      <c r="D13" s="3">
        <v>87356164.598545656</v>
      </c>
    </row>
    <row r="14" spans="1:4" x14ac:dyDescent="0.3">
      <c r="A14" t="s">
        <v>9</v>
      </c>
      <c r="B14" s="3">
        <v>817499830.54949987</v>
      </c>
      <c r="C14" s="3">
        <v>695091729.79205596</v>
      </c>
      <c r="D14" s="3">
        <v>-122408100.75744347</v>
      </c>
    </row>
    <row r="15" spans="1:4" x14ac:dyDescent="0.3">
      <c r="A15" t="s">
        <v>10</v>
      </c>
      <c r="B15" s="3">
        <v>22836760.434573907</v>
      </c>
      <c r="C15" s="3">
        <v>18865024.092762038</v>
      </c>
      <c r="D15" s="3">
        <v>-3971736.3418118628</v>
      </c>
    </row>
    <row r="16" spans="1:4" x14ac:dyDescent="0.3">
      <c r="A16" t="s">
        <v>12</v>
      </c>
      <c r="B16" s="3">
        <v>822930697.92775059</v>
      </c>
      <c r="C16" s="3">
        <v>611461077.97030485</v>
      </c>
      <c r="D16" s="3">
        <v>-211469619.95744526</v>
      </c>
    </row>
    <row r="17" spans="1:4" x14ac:dyDescent="0.3">
      <c r="A17" t="s">
        <v>13</v>
      </c>
      <c r="B17" s="3">
        <v>391628193.386136</v>
      </c>
      <c r="C17" s="3">
        <v>309038455.17813754</v>
      </c>
      <c r="D17" s="3">
        <v>-82589738.207998499</v>
      </c>
    </row>
    <row r="18" spans="1:4" x14ac:dyDescent="0.3">
      <c r="A18" t="s">
        <v>14</v>
      </c>
      <c r="B18" s="3">
        <v>160643072.6714339</v>
      </c>
      <c r="C18" s="3">
        <v>162544845.51604235</v>
      </c>
      <c r="D18" s="3">
        <v>1901772.8446084454</v>
      </c>
    </row>
    <row r="19" spans="1:4" x14ac:dyDescent="0.3">
      <c r="A19" t="s">
        <v>15</v>
      </c>
      <c r="B19" s="3">
        <v>1133938492.1456776</v>
      </c>
      <c r="C19" s="3">
        <v>1033181879.0330328</v>
      </c>
      <c r="D19" s="3">
        <v>-100756613.11264415</v>
      </c>
    </row>
    <row r="20" spans="1:4" x14ac:dyDescent="0.3">
      <c r="A20" t="s">
        <v>16</v>
      </c>
      <c r="B20" s="3">
        <v>1037951937.2547691</v>
      </c>
      <c r="C20" s="3">
        <v>1045578021.7612497</v>
      </c>
      <c r="D20" s="3">
        <v>7626084.5064808717</v>
      </c>
    </row>
    <row r="21" spans="1:4" x14ac:dyDescent="0.3">
      <c r="A21" t="s">
        <v>17</v>
      </c>
      <c r="B21" s="3">
        <v>296816488.75899696</v>
      </c>
      <c r="C21" s="3">
        <v>297787583.13648123</v>
      </c>
      <c r="D21" s="3">
        <v>971094.37748420658</v>
      </c>
    </row>
    <row r="22" spans="1:4" x14ac:dyDescent="0.3">
      <c r="A22" t="s">
        <v>18</v>
      </c>
      <c r="B22" s="3">
        <v>619282570.29604089</v>
      </c>
      <c r="C22" s="3">
        <v>628460587.21374595</v>
      </c>
      <c r="D22" s="3">
        <v>9178016.917705005</v>
      </c>
    </row>
    <row r="23" spans="1:4" x14ac:dyDescent="0.3">
      <c r="A23" t="s">
        <v>19</v>
      </c>
      <c r="B23" s="3">
        <v>47770392.39302133</v>
      </c>
      <c r="C23" s="3">
        <v>48296573.08080896</v>
      </c>
      <c r="D23" s="3">
        <v>526180.68778763688</v>
      </c>
    </row>
    <row r="24" spans="1:4" x14ac:dyDescent="0.3">
      <c r="A24" t="s">
        <v>20</v>
      </c>
      <c r="B24" s="3">
        <v>3803775106.2054815</v>
      </c>
      <c r="C24" s="3">
        <v>3870948945.123539</v>
      </c>
      <c r="D24" s="3">
        <v>67173838.918056861</v>
      </c>
    </row>
    <row r="25" spans="1:4" x14ac:dyDescent="0.3">
      <c r="A25" t="s">
        <v>21</v>
      </c>
      <c r="B25" s="3">
        <v>2041189972.0516686</v>
      </c>
      <c r="C25" s="3">
        <v>2055243750.414216</v>
      </c>
      <c r="D25" s="3">
        <v>14053778.362548014</v>
      </c>
    </row>
    <row r="26" spans="1:4" x14ac:dyDescent="0.3">
      <c r="A26" t="s">
        <v>22</v>
      </c>
      <c r="B26" s="3">
        <v>1139327455.8133559</v>
      </c>
      <c r="C26" s="3">
        <v>1146471457.2930734</v>
      </c>
      <c r="D26" s="3">
        <v>7144001.4797177846</v>
      </c>
    </row>
    <row r="27" spans="1:4" x14ac:dyDescent="0.3">
      <c r="A27" t="s">
        <v>23</v>
      </c>
      <c r="B27" s="3">
        <v>3196944065.1631947</v>
      </c>
      <c r="C27" s="3">
        <v>3237148707.0024829</v>
      </c>
      <c r="D27" s="3">
        <v>40204641.839290634</v>
      </c>
    </row>
    <row r="28" spans="1:4" x14ac:dyDescent="0.3">
      <c r="A28" t="s">
        <v>24</v>
      </c>
      <c r="B28" s="3">
        <v>85033192.615203053</v>
      </c>
      <c r="C28" s="3">
        <v>72446749.643720269</v>
      </c>
      <c r="D28" s="3">
        <v>-12586442.971482772</v>
      </c>
    </row>
    <row r="29" spans="1:4" x14ac:dyDescent="0.3">
      <c r="A29" t="s">
        <v>25</v>
      </c>
      <c r="B29" s="3">
        <v>5824051369.044425</v>
      </c>
      <c r="C29" s="3">
        <v>5376714884.2773905</v>
      </c>
      <c r="D29" s="3">
        <v>-447336484.76703668</v>
      </c>
    </row>
    <row r="30" spans="1:4" x14ac:dyDescent="0.3">
      <c r="A30" t="s">
        <v>26</v>
      </c>
      <c r="B30" s="3">
        <v>349790086.96261591</v>
      </c>
      <c r="C30" s="3">
        <v>351150561.03184295</v>
      </c>
      <c r="D30" s="3">
        <v>1360474.0692271292</v>
      </c>
    </row>
    <row r="31" spans="1:4" x14ac:dyDescent="0.3">
      <c r="A31" t="s">
        <v>27</v>
      </c>
      <c r="B31" s="3">
        <v>57611415.678636074</v>
      </c>
      <c r="C31" s="3">
        <v>53131480.513199016</v>
      </c>
      <c r="D31" s="3">
        <v>-4479935.1654370576</v>
      </c>
    </row>
    <row r="32" spans="1:4" x14ac:dyDescent="0.3">
      <c r="A32" t="s">
        <v>28</v>
      </c>
      <c r="B32" s="3">
        <v>672603492.12298906</v>
      </c>
      <c r="C32" s="3">
        <v>649751464.62423587</v>
      </c>
      <c r="D32" s="3">
        <v>-22852027.498752981</v>
      </c>
    </row>
    <row r="33" spans="1:4" x14ac:dyDescent="0.3">
      <c r="A33" t="s">
        <v>29</v>
      </c>
      <c r="B33" s="3">
        <v>423485713.04903245</v>
      </c>
      <c r="C33" s="3">
        <v>336544369.99863207</v>
      </c>
      <c r="D33" s="3">
        <v>-86941343.050400108</v>
      </c>
    </row>
    <row r="34" spans="1:4" x14ac:dyDescent="0.3">
      <c r="A34" t="s">
        <v>30</v>
      </c>
      <c r="B34" s="3">
        <v>359170716.9518652</v>
      </c>
      <c r="C34" s="3">
        <v>288002811.13899732</v>
      </c>
      <c r="D34" s="3">
        <v>-71167905.812867776</v>
      </c>
    </row>
    <row r="35" spans="1:4" x14ac:dyDescent="0.3">
      <c r="A35" t="s">
        <v>31</v>
      </c>
      <c r="B35" s="3">
        <v>12866865742.01343</v>
      </c>
      <c r="C35" s="3">
        <v>12835999108.536652</v>
      </c>
      <c r="D35" s="3">
        <v>-30866633.476776484</v>
      </c>
    </row>
    <row r="36" spans="1:4" x14ac:dyDescent="0.3">
      <c r="A36" t="s">
        <v>33</v>
      </c>
      <c r="B36" s="3">
        <v>47472370.647156611</v>
      </c>
      <c r="C36" s="3">
        <v>43796062.143102564</v>
      </c>
      <c r="D36" s="3">
        <v>-3676308.5040540509</v>
      </c>
    </row>
    <row r="37" spans="1:4" x14ac:dyDescent="0.3">
      <c r="A37" s="33" t="s">
        <v>34</v>
      </c>
      <c r="B37" s="5">
        <v>162025587127.8873</v>
      </c>
      <c r="C37" s="5">
        <v>162758637995.2439</v>
      </c>
      <c r="D37" s="5">
        <v>733050867.3567667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B6FE47-765A-4EAD-BC2E-F65839B1B5C6}">
  <dimension ref="A1:D35"/>
  <sheetViews>
    <sheetView showGridLines="0" workbookViewId="0">
      <selection activeCell="F30" sqref="F30"/>
    </sheetView>
  </sheetViews>
  <sheetFormatPr baseColWidth="10" defaultRowHeight="14.4" x14ac:dyDescent="0.3"/>
  <cols>
    <col min="2" max="2" width="18.69921875" bestFit="1" customWidth="1"/>
    <col min="3" max="3" width="25" bestFit="1" customWidth="1"/>
    <col min="4" max="4" width="14.59765625" bestFit="1" customWidth="1"/>
  </cols>
  <sheetData>
    <row r="1" spans="1:4" ht="17.850000000000001" x14ac:dyDescent="0.35">
      <c r="A1" s="1">
        <v>43374</v>
      </c>
    </row>
    <row r="3" spans="1:4" x14ac:dyDescent="0.3">
      <c r="A3" s="31"/>
      <c r="B3" s="31" t="s">
        <v>52</v>
      </c>
      <c r="C3" s="31" t="s">
        <v>53</v>
      </c>
      <c r="D3" s="31" t="s">
        <v>54</v>
      </c>
    </row>
    <row r="4" spans="1:4" x14ac:dyDescent="0.3">
      <c r="A4" s="31"/>
      <c r="B4" s="32" t="s">
        <v>55</v>
      </c>
      <c r="C4" s="31"/>
      <c r="D4" s="31"/>
    </row>
    <row r="5" spans="1:4" x14ac:dyDescent="0.3">
      <c r="A5" s="31"/>
      <c r="B5" s="31" t="s">
        <v>73</v>
      </c>
      <c r="C5" s="31"/>
      <c r="D5" s="31"/>
    </row>
    <row r="6" spans="1:4" x14ac:dyDescent="0.3">
      <c r="A6" s="4" t="s">
        <v>35</v>
      </c>
      <c r="B6" s="4" t="s">
        <v>0</v>
      </c>
      <c r="C6" s="4" t="s">
        <v>1</v>
      </c>
      <c r="D6" s="4" t="s">
        <v>2</v>
      </c>
    </row>
    <row r="7" spans="1:4" x14ac:dyDescent="0.3">
      <c r="A7" t="s">
        <v>4</v>
      </c>
      <c r="B7" s="3">
        <v>19320782012.8592</v>
      </c>
      <c r="C7" s="3">
        <v>19601148411.412315</v>
      </c>
      <c r="D7" s="3">
        <v>280366398.55309147</v>
      </c>
    </row>
    <row r="8" spans="1:4" x14ac:dyDescent="0.3">
      <c r="A8" t="s">
        <v>46</v>
      </c>
      <c r="B8" s="3">
        <v>21562471493.427723</v>
      </c>
      <c r="C8" s="3">
        <v>21997515227.544296</v>
      </c>
      <c r="D8" s="3">
        <v>435043734.11654902</v>
      </c>
    </row>
    <row r="9" spans="1:4" x14ac:dyDescent="0.3">
      <c r="A9" t="s">
        <v>5</v>
      </c>
      <c r="B9" s="3">
        <v>2795647182.7001119</v>
      </c>
      <c r="C9" s="3">
        <v>2820760583.7316027</v>
      </c>
      <c r="D9" s="3">
        <v>25113401.031490467</v>
      </c>
    </row>
    <row r="10" spans="1:4" x14ac:dyDescent="0.3">
      <c r="A10" t="s">
        <v>6</v>
      </c>
      <c r="B10" s="3">
        <v>404497869.5462212</v>
      </c>
      <c r="C10" s="3">
        <v>379940327.4360792</v>
      </c>
      <c r="D10" s="3">
        <v>-24557542.110142171</v>
      </c>
    </row>
    <row r="11" spans="1:4" x14ac:dyDescent="0.3">
      <c r="A11" t="s">
        <v>8</v>
      </c>
      <c r="B11" s="3">
        <v>4206277344.1970019</v>
      </c>
      <c r="C11" s="3">
        <v>4257634205.5299287</v>
      </c>
      <c r="D11" s="3">
        <v>51356861.332925096</v>
      </c>
    </row>
    <row r="12" spans="1:4" x14ac:dyDescent="0.3">
      <c r="A12" t="s">
        <v>11</v>
      </c>
      <c r="B12" s="3">
        <v>368702162.06998646</v>
      </c>
      <c r="C12" s="3">
        <v>319053319.16877514</v>
      </c>
      <c r="D12" s="3">
        <v>-49648842.901211374</v>
      </c>
    </row>
    <row r="13" spans="1:4" x14ac:dyDescent="0.3">
      <c r="A13" t="s">
        <v>12</v>
      </c>
      <c r="B13" s="3">
        <v>549243590.70986533</v>
      </c>
      <c r="C13" s="3">
        <v>558055236.1435318</v>
      </c>
      <c r="D13" s="3">
        <v>8811645.4336658195</v>
      </c>
    </row>
    <row r="14" spans="1:4" x14ac:dyDescent="0.3">
      <c r="A14" t="s">
        <v>13</v>
      </c>
      <c r="B14" s="3">
        <v>508461393.3828702</v>
      </c>
      <c r="C14" s="3">
        <v>446725851.92880028</v>
      </c>
      <c r="D14" s="3">
        <v>-61735541.454069674</v>
      </c>
    </row>
    <row r="15" spans="1:4" x14ac:dyDescent="0.3">
      <c r="A15" t="s">
        <v>14</v>
      </c>
      <c r="B15" s="3">
        <v>280945935.98908693</v>
      </c>
      <c r="C15" s="3">
        <v>285126572.45438147</v>
      </c>
      <c r="D15" s="3">
        <v>4180636.465294539</v>
      </c>
    </row>
    <row r="16" spans="1:4" x14ac:dyDescent="0.3">
      <c r="A16" t="s">
        <v>15</v>
      </c>
      <c r="B16" s="3">
        <v>504989427.48336428</v>
      </c>
      <c r="C16" s="3">
        <v>422739310.73177612</v>
      </c>
      <c r="D16" s="3">
        <v>-82250116.751588255</v>
      </c>
    </row>
    <row r="17" spans="1:4" x14ac:dyDescent="0.3">
      <c r="A17" t="s">
        <v>16</v>
      </c>
      <c r="B17" s="3">
        <v>1508755011.9742761</v>
      </c>
      <c r="C17" s="3">
        <v>1532530759.3159533</v>
      </c>
      <c r="D17" s="3">
        <v>23775747.341677245</v>
      </c>
    </row>
    <row r="18" spans="1:4" x14ac:dyDescent="0.3">
      <c r="A18" t="s">
        <v>17</v>
      </c>
      <c r="B18" s="3">
        <v>403281861.23646206</v>
      </c>
      <c r="C18" s="3">
        <v>407675144.78307498</v>
      </c>
      <c r="D18" s="3">
        <v>4393283.5466128923</v>
      </c>
    </row>
    <row r="19" spans="1:4" x14ac:dyDescent="0.3">
      <c r="A19" t="s">
        <v>18</v>
      </c>
      <c r="B19" s="3">
        <v>796126516.77701938</v>
      </c>
      <c r="C19" s="3">
        <v>810120649.95612192</v>
      </c>
      <c r="D19" s="3">
        <v>13994133.179102419</v>
      </c>
    </row>
    <row r="20" spans="1:4" x14ac:dyDescent="0.3">
      <c r="A20" t="s">
        <v>19</v>
      </c>
      <c r="B20" s="3">
        <v>41771063.225355163</v>
      </c>
      <c r="C20" s="3">
        <v>42063176.08548522</v>
      </c>
      <c r="D20" s="3">
        <v>292112.86013005296</v>
      </c>
    </row>
    <row r="21" spans="1:4" x14ac:dyDescent="0.3">
      <c r="A21" t="s">
        <v>20</v>
      </c>
      <c r="B21" s="3">
        <v>1840740965.1758833</v>
      </c>
      <c r="C21" s="3">
        <v>1877724448.1507499</v>
      </c>
      <c r="D21" s="3">
        <v>36983482.974867329</v>
      </c>
    </row>
    <row r="22" spans="1:4" x14ac:dyDescent="0.3">
      <c r="A22" t="s">
        <v>21</v>
      </c>
      <c r="B22" s="3">
        <v>1212494200.8109617</v>
      </c>
      <c r="C22" s="3">
        <v>1227212472.7830064</v>
      </c>
      <c r="D22" s="3">
        <v>14718271.972045038</v>
      </c>
    </row>
    <row r="23" spans="1:4" x14ac:dyDescent="0.3">
      <c r="A23" t="s">
        <v>22</v>
      </c>
      <c r="B23" s="3">
        <v>714348018.01178241</v>
      </c>
      <c r="C23" s="3">
        <v>718565119.55730855</v>
      </c>
      <c r="D23" s="3">
        <v>4217101.5455261497</v>
      </c>
    </row>
    <row r="24" spans="1:4" x14ac:dyDescent="0.3">
      <c r="A24" t="s">
        <v>23</v>
      </c>
      <c r="B24" s="3">
        <v>1227331604.7617974</v>
      </c>
      <c r="C24" s="3">
        <v>1251222971.5329671</v>
      </c>
      <c r="D24" s="3">
        <v>23891366.77116983</v>
      </c>
    </row>
    <row r="25" spans="1:4" x14ac:dyDescent="0.3">
      <c r="A25" t="s">
        <v>24</v>
      </c>
      <c r="B25" s="3">
        <v>79818260.121158808</v>
      </c>
      <c r="C25" s="3">
        <v>67983297.239307374</v>
      </c>
      <c r="D25" s="3">
        <v>-11834962.881851431</v>
      </c>
    </row>
    <row r="26" spans="1:4" x14ac:dyDescent="0.3">
      <c r="A26" t="s">
        <v>25</v>
      </c>
      <c r="B26" s="3">
        <v>2526389373.6738362</v>
      </c>
      <c r="C26" s="3">
        <v>2159078902.6258593</v>
      </c>
      <c r="D26" s="3">
        <v>-367310471.04797566</v>
      </c>
    </row>
    <row r="27" spans="1:4" x14ac:dyDescent="0.3">
      <c r="A27" t="s">
        <v>26</v>
      </c>
      <c r="B27" s="3">
        <v>540946328.66312933</v>
      </c>
      <c r="C27" s="3">
        <v>544441063.03203952</v>
      </c>
      <c r="D27" s="3">
        <v>3494734.3689106107</v>
      </c>
    </row>
    <row r="28" spans="1:4" x14ac:dyDescent="0.3">
      <c r="A28" t="s">
        <v>27</v>
      </c>
      <c r="B28" s="3">
        <v>27803362.384764541</v>
      </c>
      <c r="C28" s="3">
        <v>24861663.887545437</v>
      </c>
      <c r="D28" s="3">
        <v>-2941698.4972191025</v>
      </c>
    </row>
    <row r="29" spans="1:4" x14ac:dyDescent="0.3">
      <c r="A29" t="s">
        <v>28</v>
      </c>
      <c r="B29" s="3">
        <v>522049656.68598616</v>
      </c>
      <c r="C29" s="3">
        <v>501686968.51254636</v>
      </c>
      <c r="D29" s="3">
        <v>-20362688.173440158</v>
      </c>
    </row>
    <row r="30" spans="1:4" x14ac:dyDescent="0.3">
      <c r="A30" t="s">
        <v>29</v>
      </c>
      <c r="B30" s="3">
        <v>382723991.65982664</v>
      </c>
      <c r="C30" s="3">
        <v>361264309.64956993</v>
      </c>
      <c r="D30" s="3">
        <v>-21459682.010256574</v>
      </c>
    </row>
    <row r="31" spans="1:4" x14ac:dyDescent="0.3">
      <c r="A31" t="s">
        <v>30</v>
      </c>
      <c r="B31" s="3">
        <v>295917658.24779254</v>
      </c>
      <c r="C31" s="3">
        <v>290277801.61091071</v>
      </c>
      <c r="D31" s="3">
        <v>-5639856.636881778</v>
      </c>
    </row>
    <row r="32" spans="1:4" x14ac:dyDescent="0.3">
      <c r="A32" t="s">
        <v>31</v>
      </c>
      <c r="B32" s="3">
        <v>3740700261.4082446</v>
      </c>
      <c r="C32" s="3">
        <v>3600887268.1785684</v>
      </c>
      <c r="D32" s="3">
        <v>-139812993.22966859</v>
      </c>
    </row>
    <row r="33" spans="1:4" x14ac:dyDescent="0.3">
      <c r="A33" t="s">
        <v>32</v>
      </c>
      <c r="B33" s="3">
        <v>323307498.7810654</v>
      </c>
      <c r="C33" s="3">
        <v>287902907.5236603</v>
      </c>
      <c r="D33" s="3">
        <v>-35404591.257405214</v>
      </c>
    </row>
    <row r="34" spans="1:4" x14ac:dyDescent="0.3">
      <c r="A34" t="s">
        <v>33</v>
      </c>
      <c r="B34" s="3">
        <v>76107018.599778563</v>
      </c>
      <c r="C34" s="3">
        <v>74128193.153788716</v>
      </c>
      <c r="D34" s="3">
        <v>-1978825.4459898318</v>
      </c>
    </row>
    <row r="35" spans="1:4" x14ac:dyDescent="0.3">
      <c r="A35" s="33" t="s">
        <v>34</v>
      </c>
      <c r="B35" s="5">
        <v>66762631064.564552</v>
      </c>
      <c r="C35" s="5">
        <v>66868326163.659943</v>
      </c>
      <c r="D35" s="5">
        <v>105695099.09535824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A2B167-915B-4756-BCE2-0A2A6B803232}">
  <dimension ref="B2:F23"/>
  <sheetViews>
    <sheetView showGridLines="0" workbookViewId="0">
      <selection activeCell="E24" sqref="E24"/>
    </sheetView>
  </sheetViews>
  <sheetFormatPr baseColWidth="10" defaultRowHeight="14.4" x14ac:dyDescent="0.3"/>
  <cols>
    <col min="2" max="2" width="25.19921875" customWidth="1"/>
    <col min="3" max="3" width="15.59765625" bestFit="1" customWidth="1"/>
    <col min="5" max="5" width="24.09765625" customWidth="1"/>
    <col min="6" max="6" width="17.19921875" bestFit="1" customWidth="1"/>
    <col min="7" max="9" width="14.59765625" bestFit="1" customWidth="1"/>
  </cols>
  <sheetData>
    <row r="2" spans="2:6" x14ac:dyDescent="0.3">
      <c r="B2" s="6"/>
      <c r="F2" s="6" t="s">
        <v>75</v>
      </c>
    </row>
    <row r="3" spans="2:6" x14ac:dyDescent="0.3">
      <c r="F3" s="9" t="s">
        <v>57</v>
      </c>
    </row>
    <row r="4" spans="2:6" x14ac:dyDescent="0.3">
      <c r="B4" s="6" t="s">
        <v>58</v>
      </c>
      <c r="C4" s="6" t="s">
        <v>59</v>
      </c>
      <c r="E4" s="37" t="s">
        <v>60</v>
      </c>
      <c r="F4" s="38">
        <f>+B8*(1+C$13)*(1+C$14)*(1+C$15)*(1+C$16)*(1+C17)*(1+C18)</f>
        <v>1183864674.3650701</v>
      </c>
    </row>
    <row r="5" spans="2:6" x14ac:dyDescent="0.3">
      <c r="B5" s="39">
        <v>-1883380818.35498</v>
      </c>
      <c r="C5" s="40">
        <f>-B5/6</f>
        <v>313896803.05916333</v>
      </c>
      <c r="E5" s="37" t="s">
        <v>61</v>
      </c>
      <c r="F5" s="38">
        <f>+C$5*(1+C$13)*(1+C$14)*(1+C$15)*(1+C$16)*(1+C17)*(1+C18)</f>
        <v>318847856.73517549</v>
      </c>
    </row>
    <row r="6" spans="2:6" x14ac:dyDescent="0.3">
      <c r="E6" s="37" t="s">
        <v>62</v>
      </c>
      <c r="F6" s="38">
        <f>+C$5*(1+C$14)*(1+C$15)*(1+C$16)*(1+C17)*(1+C18)</f>
        <v>317845190.51902717</v>
      </c>
    </row>
    <row r="7" spans="2:6" x14ac:dyDescent="0.3">
      <c r="B7" s="6" t="s">
        <v>63</v>
      </c>
      <c r="E7" s="37" t="s">
        <v>64</v>
      </c>
      <c r="F7" s="38">
        <f>+C$5*(1+C$15)*(1+C$16)*(1+C17)*(1+C18)</f>
        <v>316956226.09092915</v>
      </c>
    </row>
    <row r="8" spans="2:6" x14ac:dyDescent="0.3">
      <c r="B8" s="41">
        <v>1165481682.5271027</v>
      </c>
      <c r="E8" s="37" t="s">
        <v>65</v>
      </c>
      <c r="F8" s="38">
        <f>+C$5*(1+C$16)*(1+C17)*(1+C18)</f>
        <v>316634197.92116433</v>
      </c>
    </row>
    <row r="9" spans="2:6" x14ac:dyDescent="0.3">
      <c r="B9" t="s">
        <v>70</v>
      </c>
      <c r="E9" s="14" t="s">
        <v>45</v>
      </c>
      <c r="F9" s="42">
        <f>+SUM(F4:F8)</f>
        <v>2454148145.6313663</v>
      </c>
    </row>
    <row r="10" spans="2:6" x14ac:dyDescent="0.3">
      <c r="E10" s="37" t="s">
        <v>69</v>
      </c>
      <c r="F10" s="35">
        <f>-C22*(1+C17)*(1+C18)</f>
        <v>-371285767.20815629</v>
      </c>
    </row>
    <row r="11" spans="2:6" x14ac:dyDescent="0.3">
      <c r="E11" s="50" t="s">
        <v>74</v>
      </c>
      <c r="F11" s="35">
        <f>-C23*(1+C18)</f>
        <v>-370660338.47538751</v>
      </c>
    </row>
    <row r="12" spans="2:6" x14ac:dyDescent="0.3">
      <c r="B12" s="43" t="s">
        <v>66</v>
      </c>
      <c r="C12" s="44" t="s">
        <v>67</v>
      </c>
      <c r="E12" s="14" t="s">
        <v>76</v>
      </c>
      <c r="F12" s="42">
        <f>+F9+F10+F11</f>
        <v>1712202039.9478223</v>
      </c>
    </row>
    <row r="13" spans="2:6" x14ac:dyDescent="0.3">
      <c r="B13" s="45">
        <v>43191</v>
      </c>
      <c r="C13" s="46">
        <v>3.154574132492094E-3</v>
      </c>
    </row>
    <row r="14" spans="2:6" x14ac:dyDescent="0.3">
      <c r="B14" s="45">
        <v>43221</v>
      </c>
      <c r="C14" s="46">
        <v>2.8046914839368053E-3</v>
      </c>
    </row>
    <row r="15" spans="2:6" x14ac:dyDescent="0.3">
      <c r="B15" s="45">
        <v>43252</v>
      </c>
      <c r="C15" s="46">
        <v>1.0170353419781701E-3</v>
      </c>
    </row>
    <row r="16" spans="2:6" x14ac:dyDescent="0.3">
      <c r="B16" s="45">
        <v>43282</v>
      </c>
      <c r="C16" s="46">
        <v>3.5560071120142398E-3</v>
      </c>
      <c r="E16" s="6" t="s">
        <v>68</v>
      </c>
      <c r="F16" s="47">
        <v>369384774.10762763</v>
      </c>
    </row>
    <row r="17" spans="2:3" x14ac:dyDescent="0.3">
      <c r="B17" s="45">
        <v>43313</v>
      </c>
      <c r="C17" s="46">
        <v>1.6873365392727818E-3</v>
      </c>
    </row>
    <row r="18" spans="2:3" x14ac:dyDescent="0.3">
      <c r="B18" s="45">
        <v>43344</v>
      </c>
      <c r="C18" s="46">
        <v>3.4532131727448546E-3</v>
      </c>
    </row>
    <row r="21" spans="2:3" x14ac:dyDescent="0.3">
      <c r="C21" s="44" t="s">
        <v>71</v>
      </c>
    </row>
    <row r="22" spans="2:3" x14ac:dyDescent="0.3">
      <c r="B22" s="45">
        <v>43313</v>
      </c>
      <c r="C22" s="38">
        <v>369384774.10762763</v>
      </c>
    </row>
    <row r="23" spans="2:3" x14ac:dyDescent="0.3">
      <c r="B23" s="45">
        <v>43344</v>
      </c>
      <c r="C23" s="38">
        <v>369384774.10762763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1</vt:i4>
      </vt:variant>
    </vt:vector>
  </HeadingPairs>
  <TitlesOfParts>
    <vt:vector size="7" baseType="lpstr">
      <vt:lpstr>Pagos</vt:lpstr>
      <vt:lpstr>1807</vt:lpstr>
      <vt:lpstr>1808</vt:lpstr>
      <vt:lpstr>1809</vt:lpstr>
      <vt:lpstr>1810</vt:lpstr>
      <vt:lpstr>Actualización saldo Enel Dx</vt:lpstr>
      <vt:lpstr>Pagos!Área_de_impresión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Hugo Tapia Munoz</dc:creator>
  <cp:lastModifiedBy>Carlos De la Fuente Vásquez</cp:lastModifiedBy>
  <dcterms:created xsi:type="dcterms:W3CDTF">2017-11-14T19:07:45Z</dcterms:created>
  <dcterms:modified xsi:type="dcterms:W3CDTF">2018-11-26T13:17:59Z</dcterms:modified>
</cp:coreProperties>
</file>